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Marzo " sheetId="1" r:id="rId1"/>
    <sheet name="Junio " sheetId="2" r:id="rId2"/>
    <sheet name="Septiembre " sheetId="3" r:id="rId3"/>
    <sheet name="Diciembre" sheetId="4" r:id="rId4"/>
  </sheets>
  <calcPr calcId="145621"/>
</workbook>
</file>

<file path=xl/calcChain.xml><?xml version="1.0" encoding="utf-8"?>
<calcChain xmlns="http://schemas.openxmlformats.org/spreadsheetml/2006/main">
  <c r="M62" i="4" l="1"/>
  <c r="L62" i="4"/>
  <c r="K62" i="4"/>
  <c r="J62" i="4"/>
  <c r="I62" i="4"/>
  <c r="F62" i="4"/>
  <c r="C62" i="4"/>
  <c r="G60" i="4"/>
  <c r="H60" i="4" s="1"/>
  <c r="H62" i="4" s="1"/>
  <c r="M57" i="4"/>
  <c r="M64" i="4" s="1"/>
  <c r="L57" i="4"/>
  <c r="L64" i="4" s="1"/>
  <c r="J57" i="4"/>
  <c r="J64" i="4" s="1"/>
  <c r="I57" i="4"/>
  <c r="I64" i="4" s="1"/>
  <c r="F57" i="4"/>
  <c r="F64" i="4" s="1"/>
  <c r="C57" i="4"/>
  <c r="C64" i="4" s="1"/>
  <c r="G56" i="4"/>
  <c r="H56" i="4" s="1"/>
  <c r="K55" i="4"/>
  <c r="G55" i="4" s="1"/>
  <c r="H55" i="4" s="1"/>
  <c r="G54" i="4"/>
  <c r="H54" i="4" s="1"/>
  <c r="K53" i="4"/>
  <c r="G53" i="4" s="1"/>
  <c r="H53" i="4" s="1"/>
  <c r="K52" i="4"/>
  <c r="G52" i="4" s="1"/>
  <c r="H52" i="4" s="1"/>
  <c r="G51" i="4"/>
  <c r="H51" i="4" s="1"/>
  <c r="K50" i="4"/>
  <c r="G50" i="4" s="1"/>
  <c r="H50" i="4" s="1"/>
  <c r="H49" i="4"/>
  <c r="G49" i="4"/>
  <c r="K48" i="4"/>
  <c r="G48" i="4"/>
  <c r="H48" i="4" s="1"/>
  <c r="K47" i="4"/>
  <c r="G47" i="4" s="1"/>
  <c r="H47" i="4" s="1"/>
  <c r="K46" i="4"/>
  <c r="G46" i="4" s="1"/>
  <c r="H46" i="4" s="1"/>
  <c r="G45" i="4"/>
  <c r="H45" i="4" s="1"/>
  <c r="H44" i="4"/>
  <c r="G44" i="4"/>
  <c r="G43" i="4"/>
  <c r="H43" i="4" s="1"/>
  <c r="H42" i="4"/>
  <c r="G42" i="4"/>
  <c r="G41" i="4"/>
  <c r="H41" i="4" s="1"/>
  <c r="K40" i="4"/>
  <c r="G40" i="4" s="1"/>
  <c r="H40" i="4" s="1"/>
  <c r="H39" i="4"/>
  <c r="G39" i="4"/>
  <c r="H38" i="4"/>
  <c r="G38" i="4"/>
  <c r="H37" i="4"/>
  <c r="G37" i="4"/>
  <c r="H36" i="4"/>
  <c r="G36" i="4"/>
  <c r="K35" i="4"/>
  <c r="G35" i="4" s="1"/>
  <c r="H35" i="4" s="1"/>
  <c r="G34" i="4"/>
  <c r="H34" i="4" s="1"/>
  <c r="H33" i="4"/>
  <c r="G33" i="4"/>
  <c r="G32" i="4"/>
  <c r="G57" i="4" s="1"/>
  <c r="I20" i="4"/>
  <c r="K11" i="4"/>
  <c r="H11" i="4"/>
  <c r="K10" i="4"/>
  <c r="H10" i="4"/>
  <c r="M63" i="3"/>
  <c r="L63" i="3"/>
  <c r="K63" i="3"/>
  <c r="J63" i="3"/>
  <c r="I63" i="3"/>
  <c r="F63" i="3"/>
  <c r="C63" i="3"/>
  <c r="G61" i="3"/>
  <c r="H61" i="3" s="1"/>
  <c r="H63" i="3" s="1"/>
  <c r="M58" i="3"/>
  <c r="M65" i="3" s="1"/>
  <c r="L58" i="3"/>
  <c r="L65" i="3" s="1"/>
  <c r="J58" i="3"/>
  <c r="J65" i="3" s="1"/>
  <c r="I58" i="3"/>
  <c r="I65" i="3" s="1"/>
  <c r="F58" i="3"/>
  <c r="F65" i="3" s="1"/>
  <c r="C58" i="3"/>
  <c r="C65" i="3" s="1"/>
  <c r="G57" i="3"/>
  <c r="H57" i="3" s="1"/>
  <c r="G56" i="3"/>
  <c r="H56" i="3" s="1"/>
  <c r="G55" i="3"/>
  <c r="H55" i="3" s="1"/>
  <c r="G54" i="3"/>
  <c r="H54" i="3" s="1"/>
  <c r="K53" i="3"/>
  <c r="K58" i="3" s="1"/>
  <c r="K65" i="3" s="1"/>
  <c r="G53" i="3"/>
  <c r="H53" i="3" s="1"/>
  <c r="H52" i="3"/>
  <c r="G52" i="3"/>
  <c r="G51" i="3"/>
  <c r="H51" i="3" s="1"/>
  <c r="H50" i="3"/>
  <c r="G50" i="3"/>
  <c r="G49" i="3"/>
  <c r="H49" i="3" s="1"/>
  <c r="H48" i="3"/>
  <c r="G48" i="3"/>
  <c r="G47" i="3"/>
  <c r="H47" i="3" s="1"/>
  <c r="H46" i="3"/>
  <c r="G46" i="3"/>
  <c r="G45" i="3"/>
  <c r="H45" i="3" s="1"/>
  <c r="H44" i="3"/>
  <c r="G44" i="3"/>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I20" i="3"/>
  <c r="K11" i="3"/>
  <c r="H11" i="3"/>
  <c r="K10" i="3"/>
  <c r="H10" i="3"/>
  <c r="M64" i="2"/>
  <c r="L64" i="2"/>
  <c r="K64" i="2"/>
  <c r="J64" i="2"/>
  <c r="I64" i="2"/>
  <c r="F64" i="2"/>
  <c r="C64" i="2"/>
  <c r="G62" i="2"/>
  <c r="H62" i="2" s="1"/>
  <c r="H64" i="2" s="1"/>
  <c r="M59" i="2"/>
  <c r="M66" i="2" s="1"/>
  <c r="L59" i="2"/>
  <c r="L66" i="2" s="1"/>
  <c r="J59" i="2"/>
  <c r="J66" i="2" s="1"/>
  <c r="I59" i="2"/>
  <c r="I66" i="2" s="1"/>
  <c r="F59" i="2"/>
  <c r="F66" i="2" s="1"/>
  <c r="C59" i="2"/>
  <c r="C66" i="2" s="1"/>
  <c r="K58" i="2"/>
  <c r="G58" i="2" s="1"/>
  <c r="H58" i="2" s="1"/>
  <c r="K57" i="2"/>
  <c r="G57" i="2" s="1"/>
  <c r="H57" i="2" s="1"/>
  <c r="K56" i="2"/>
  <c r="G56" i="2"/>
  <c r="H56" i="2" s="1"/>
  <c r="K55" i="2"/>
  <c r="G55" i="2"/>
  <c r="H55" i="2" s="1"/>
  <c r="K54" i="2"/>
  <c r="G54" i="2" s="1"/>
  <c r="H54" i="2" s="1"/>
  <c r="K53" i="2"/>
  <c r="G53" i="2" s="1"/>
  <c r="H53" i="2" s="1"/>
  <c r="K52" i="2"/>
  <c r="G52" i="2"/>
  <c r="H52" i="2" s="1"/>
  <c r="K51" i="2"/>
  <c r="G51" i="2"/>
  <c r="H51" i="2" s="1"/>
  <c r="K50" i="2"/>
  <c r="G50" i="2" s="1"/>
  <c r="H50" i="2" s="1"/>
  <c r="K49" i="2"/>
  <c r="G49" i="2" s="1"/>
  <c r="H49" i="2" s="1"/>
  <c r="K48" i="2"/>
  <c r="G48" i="2"/>
  <c r="H48" i="2" s="1"/>
  <c r="K47" i="2"/>
  <c r="G47" i="2"/>
  <c r="H47" i="2" s="1"/>
  <c r="K46" i="2"/>
  <c r="G46" i="2" s="1"/>
  <c r="H46" i="2" s="1"/>
  <c r="K45" i="2"/>
  <c r="G45" i="2" s="1"/>
  <c r="H45" i="2" s="1"/>
  <c r="K44" i="2"/>
  <c r="G44" i="2"/>
  <c r="H44" i="2" s="1"/>
  <c r="K43" i="2"/>
  <c r="G43" i="2"/>
  <c r="H43" i="2" s="1"/>
  <c r="K42" i="2"/>
  <c r="G42" i="2" s="1"/>
  <c r="H42" i="2" s="1"/>
  <c r="K41" i="2"/>
  <c r="G41" i="2" s="1"/>
  <c r="H41" i="2" s="1"/>
  <c r="K40" i="2"/>
  <c r="G40" i="2"/>
  <c r="H40" i="2" s="1"/>
  <c r="K39" i="2"/>
  <c r="G39" i="2"/>
  <c r="H39" i="2" s="1"/>
  <c r="K38" i="2"/>
  <c r="G38" i="2" s="1"/>
  <c r="H38" i="2" s="1"/>
  <c r="K37" i="2"/>
  <c r="G37" i="2" s="1"/>
  <c r="H37" i="2" s="1"/>
  <c r="K36" i="2"/>
  <c r="G36" i="2"/>
  <c r="H36" i="2" s="1"/>
  <c r="K35" i="2"/>
  <c r="K59" i="2" s="1"/>
  <c r="K66" i="2" s="1"/>
  <c r="G35" i="2"/>
  <c r="H35" i="2" s="1"/>
  <c r="H34" i="2"/>
  <c r="G34" i="2"/>
  <c r="G33" i="2"/>
  <c r="I20" i="2"/>
  <c r="K11" i="2"/>
  <c r="G11" i="2"/>
  <c r="H11" i="2" s="1"/>
  <c r="K10" i="2"/>
  <c r="G10" i="2"/>
  <c r="H10" i="2" s="1"/>
  <c r="M62" i="1"/>
  <c r="L62" i="1"/>
  <c r="J62" i="1"/>
  <c r="I62" i="1"/>
  <c r="F62" i="1"/>
  <c r="C62" i="1"/>
  <c r="K61" i="1"/>
  <c r="G61" i="1" s="1"/>
  <c r="M59" i="1"/>
  <c r="M64" i="1" s="1"/>
  <c r="L59" i="1"/>
  <c r="L64" i="1" s="1"/>
  <c r="J59" i="1"/>
  <c r="J64" i="1" s="1"/>
  <c r="I59" i="1"/>
  <c r="I64" i="1" s="1"/>
  <c r="F59" i="1"/>
  <c r="F64" i="1" s="1"/>
  <c r="C59" i="1"/>
  <c r="C64" i="1" s="1"/>
  <c r="K58" i="1"/>
  <c r="G58" i="1" s="1"/>
  <c r="H58" i="1" s="1"/>
  <c r="K57" i="1"/>
  <c r="G57" i="1" s="1"/>
  <c r="H57" i="1" s="1"/>
  <c r="K56" i="1"/>
  <c r="G56" i="1"/>
  <c r="H56" i="1" s="1"/>
  <c r="K55" i="1"/>
  <c r="G55" i="1"/>
  <c r="H55" i="1" s="1"/>
  <c r="K54" i="1"/>
  <c r="G54" i="1" s="1"/>
  <c r="H54" i="1" s="1"/>
  <c r="K53" i="1"/>
  <c r="G53" i="1" s="1"/>
  <c r="H53" i="1" s="1"/>
  <c r="K52" i="1"/>
  <c r="G52" i="1"/>
  <c r="H52" i="1" s="1"/>
  <c r="K51" i="1"/>
  <c r="G51" i="1"/>
  <c r="H51" i="1" s="1"/>
  <c r="K50" i="1"/>
  <c r="G50" i="1" s="1"/>
  <c r="H50" i="1" s="1"/>
  <c r="K49" i="1"/>
  <c r="G49" i="1" s="1"/>
  <c r="H49" i="1" s="1"/>
  <c r="K48" i="1"/>
  <c r="G48" i="1"/>
  <c r="H48" i="1" s="1"/>
  <c r="K47" i="1"/>
  <c r="G47" i="1"/>
  <c r="H47" i="1" s="1"/>
  <c r="K46" i="1"/>
  <c r="G46" i="1" s="1"/>
  <c r="H46" i="1" s="1"/>
  <c r="K45" i="1"/>
  <c r="G45" i="1" s="1"/>
  <c r="H45" i="1" s="1"/>
  <c r="K44" i="1"/>
  <c r="G44" i="1"/>
  <c r="H44" i="1" s="1"/>
  <c r="K43" i="1"/>
  <c r="G43" i="1"/>
  <c r="H43" i="1" s="1"/>
  <c r="K42" i="1"/>
  <c r="G42" i="1" s="1"/>
  <c r="H42" i="1" s="1"/>
  <c r="K41" i="1"/>
  <c r="G41" i="1" s="1"/>
  <c r="H41" i="1" s="1"/>
  <c r="K40" i="1"/>
  <c r="G40" i="1"/>
  <c r="H40" i="1" s="1"/>
  <c r="K39" i="1"/>
  <c r="G39" i="1"/>
  <c r="H39" i="1" s="1"/>
  <c r="K38" i="1"/>
  <c r="G38" i="1" s="1"/>
  <c r="H38" i="1" s="1"/>
  <c r="K37" i="1"/>
  <c r="G37" i="1" s="1"/>
  <c r="H37" i="1" s="1"/>
  <c r="K36" i="1"/>
  <c r="G36" i="1"/>
  <c r="H36" i="1" s="1"/>
  <c r="K35" i="1"/>
  <c r="G35" i="1"/>
  <c r="H35" i="1" s="1"/>
  <c r="K34" i="1"/>
  <c r="G34" i="1" s="1"/>
  <c r="H34" i="1" s="1"/>
  <c r="K33" i="1"/>
  <c r="K59" i="1" s="1"/>
  <c r="G32" i="1"/>
  <c r="H32" i="1" s="1"/>
  <c r="I21" i="1"/>
  <c r="K12" i="1"/>
  <c r="H12" i="1"/>
  <c r="G12" i="1"/>
  <c r="K11" i="1"/>
  <c r="G11" i="1"/>
  <c r="H11" i="1" s="1"/>
  <c r="G62" i="4" l="1"/>
  <c r="G64" i="4" s="1"/>
  <c r="H32" i="4"/>
  <c r="H57" i="4" s="1"/>
  <c r="H64" i="4" s="1"/>
  <c r="K57" i="4"/>
  <c r="K64" i="4" s="1"/>
  <c r="H58" i="3"/>
  <c r="H65" i="3" s="1"/>
  <c r="G63" i="3"/>
  <c r="G58" i="3"/>
  <c r="G65" i="3" s="1"/>
  <c r="G59" i="2"/>
  <c r="H33" i="2"/>
  <c r="H59" i="2" s="1"/>
  <c r="H66" i="2" s="1"/>
  <c r="G64" i="2"/>
  <c r="G62" i="1"/>
  <c r="H61" i="1"/>
  <c r="H62" i="1" s="1"/>
  <c r="G33" i="1"/>
  <c r="H33" i="1" s="1"/>
  <c r="H59" i="1" s="1"/>
  <c r="H64" i="1" s="1"/>
  <c r="G59" i="1"/>
  <c r="G64" i="1" s="1"/>
  <c r="K62" i="1"/>
  <c r="K64" i="1" s="1"/>
  <c r="G66" i="2" l="1"/>
</calcChain>
</file>

<file path=xl/sharedStrings.xml><?xml version="1.0" encoding="utf-8"?>
<sst xmlns="http://schemas.openxmlformats.org/spreadsheetml/2006/main" count="448" uniqueCount="112">
  <si>
    <t>MUTUALIDADES</t>
  </si>
  <si>
    <t>VENTAS INSTITUCIONALES EXCLUSIVAMENTE</t>
  </si>
  <si>
    <t>SOCIEDAD</t>
  </si>
  <si>
    <t>ENDEUDAMIENTO</t>
  </si>
  <si>
    <t>OBLIGACION</t>
  </si>
  <si>
    <t>INVERSIONES</t>
  </si>
  <si>
    <t>SUPERAVIT (DEF)</t>
  </si>
  <si>
    <t>TOTAL</t>
  </si>
  <si>
    <t>FINANC.</t>
  </si>
  <si>
    <t>DE INV. LAS</t>
  </si>
  <si>
    <t>REPRESENT.</t>
  </si>
  <si>
    <t>DE INV. REPRES.</t>
  </si>
  <si>
    <t>DE INV. EL</t>
  </si>
  <si>
    <t>RES. TECNICAS</t>
  </si>
  <si>
    <t>DE RES.TEC.</t>
  </si>
  <si>
    <t>DE RES. TEC.</t>
  </si>
  <si>
    <t>PATRIMONIO</t>
  </si>
  <si>
    <t>DE PATRIMONIO</t>
  </si>
  <si>
    <t>MUTUALIDAD DE CARABINEROS</t>
  </si>
  <si>
    <t>MUTUALIDAD DEL EJERCITO Y AVIACION</t>
  </si>
  <si>
    <t>VENTAS INSTITUCIONALES Y NO INSTITUCIONALES SIMULTANEAMENTE</t>
  </si>
  <si>
    <t xml:space="preserve">OBLIGACION DE </t>
  </si>
  <si>
    <t xml:space="preserve">INVERSIONES </t>
  </si>
  <si>
    <t>SUPERAVIT (DEFICIT)</t>
  </si>
  <si>
    <t xml:space="preserve"> INV. LAS RES. TEC.</t>
  </si>
  <si>
    <t>TOTALES</t>
  </si>
  <si>
    <t>Y  PAT. RIESGO</t>
  </si>
  <si>
    <t>Y  PATRIMONIO</t>
  </si>
  <si>
    <t>REPRES. DE RES. TEC.</t>
  </si>
  <si>
    <t>DE RES. TECNICAS</t>
  </si>
  <si>
    <t>VENTAS NO INST.</t>
  </si>
  <si>
    <t>VENTAS INST.</t>
  </si>
  <si>
    <t>Y PATRIMONIO</t>
  </si>
  <si>
    <t>MUTUAL DE SEGUROS</t>
  </si>
  <si>
    <t>0,01</t>
  </si>
  <si>
    <t>(al 31 de marzo de 2007, montos expresados en miles de pesos)</t>
  </si>
  <si>
    <t xml:space="preserve">             ENDEUDAMIENTO</t>
  </si>
  <si>
    <t>DE INV.LAS</t>
  </si>
  <si>
    <t>DE INV.REPRES.</t>
  </si>
  <si>
    <t>DE INV.EL</t>
  </si>
  <si>
    <t>R.TECNICAS</t>
  </si>
  <si>
    <t>DE RES.TEC</t>
  </si>
  <si>
    <t xml:space="preserve"> INV.LAS R.TEC.</t>
  </si>
  <si>
    <t>Y  PAT.RIESGO</t>
  </si>
  <si>
    <t>REPRES.DE R.TECN.</t>
  </si>
  <si>
    <t>DE RES.TECNICAS</t>
  </si>
  <si>
    <t>CUMPLIMIENTO DE NORMAS</t>
  </si>
  <si>
    <t>SEGUROS DE VIDA</t>
  </si>
  <si>
    <t>OBLIGACION DE</t>
  </si>
  <si>
    <t>INVER.REPRES.</t>
  </si>
  <si>
    <t>SUPERAV.(DEF) DE</t>
  </si>
  <si>
    <t>INVERSIONES NO</t>
  </si>
  <si>
    <t>DE RIESGO</t>
  </si>
  <si>
    <t>INVERTIR LAS RES.</t>
  </si>
  <si>
    <t>DE RES.TEC Y PAT.</t>
  </si>
  <si>
    <t>INV.REPRES.DE RES.</t>
  </si>
  <si>
    <t>REPRESENTATIVAS</t>
  </si>
  <si>
    <t>RES. PREVIS.</t>
  </si>
  <si>
    <t>RES. NO PREVIS.</t>
  </si>
  <si>
    <t>RES. ADIC.</t>
  </si>
  <si>
    <t>PAT. RIESGO</t>
  </si>
  <si>
    <t>TEC. Y PAT.RIESGO</t>
  </si>
  <si>
    <t xml:space="preserve">ABN Amro </t>
  </si>
  <si>
    <t xml:space="preserve">Ace </t>
  </si>
  <si>
    <t>Banchile</t>
  </si>
  <si>
    <t>BBVA</t>
  </si>
  <si>
    <t>Bice</t>
  </si>
  <si>
    <t>Bci</t>
  </si>
  <si>
    <t xml:space="preserve">Cardif   </t>
  </si>
  <si>
    <t>Chilena Consolidada</t>
  </si>
  <si>
    <t xml:space="preserve">Cigna   </t>
  </si>
  <si>
    <t xml:space="preserve">CLC </t>
  </si>
  <si>
    <t>CN Life</t>
  </si>
  <si>
    <t>Consorcio Nacional</t>
  </si>
  <si>
    <t>Cruz del Sur</t>
  </si>
  <si>
    <t xml:space="preserve">Euroamérica </t>
  </si>
  <si>
    <t xml:space="preserve">Huelén </t>
  </si>
  <si>
    <t xml:space="preserve">ING </t>
  </si>
  <si>
    <t>Interamericana</t>
  </si>
  <si>
    <t xml:space="preserve">Mapfre  </t>
  </si>
  <si>
    <t>Met Life</t>
  </si>
  <si>
    <t>Ohio National</t>
  </si>
  <si>
    <t>Penta</t>
  </si>
  <si>
    <t>Principal</t>
  </si>
  <si>
    <t>Renta Nacional</t>
  </si>
  <si>
    <t>Santander</t>
  </si>
  <si>
    <t xml:space="preserve">Security Previsión </t>
  </si>
  <si>
    <t>Security Rentas</t>
  </si>
  <si>
    <t xml:space="preserve">Vida Corp  </t>
  </si>
  <si>
    <t xml:space="preserve">TOTAL ASEGURADORAS    </t>
  </si>
  <si>
    <t>Caja Reaseguradora</t>
  </si>
  <si>
    <t>TOTAL REASEGURADORAS</t>
  </si>
  <si>
    <t>(al 30 de junio de 2007, montos expresados en miles de pesos)</t>
  </si>
  <si>
    <t>COMPAÑIAS DE SEGUROS DEL SEGUNDO GRUPO</t>
  </si>
  <si>
    <t>Compañías de Seguros de Vida</t>
  </si>
  <si>
    <t>Metlife</t>
  </si>
  <si>
    <t>Security Previsión (1)</t>
  </si>
  <si>
    <t>TOTAL CIAS. DE SEGUROS DE VIDA</t>
  </si>
  <si>
    <t>Compañías de Reaseguros de Vida</t>
  </si>
  <si>
    <t>TOTAL CIAS. DE REASEGUROS DE VIDA</t>
  </si>
  <si>
    <t>TOTAL CIAS. DEL SEGUNDO GRUPO</t>
  </si>
  <si>
    <t>(1)</t>
  </si>
  <si>
    <t>Con fecha 30 de junio de 2007, la compañía Security Rentas Seguros de Vida S.A. se ha fusionado con la compañía Seguros Vida Security Previsión S.A.</t>
  </si>
  <si>
    <t>(al 30 de septiembre de 2007, montos expresados en miles de pesos)</t>
  </si>
  <si>
    <t>1,17</t>
  </si>
  <si>
    <t>(al 31 de diciembre de 2007, montos expresados en miles de pesos)</t>
  </si>
  <si>
    <t>ABN Amro (1)</t>
  </si>
  <si>
    <t xml:space="preserve">CorpVida  </t>
  </si>
  <si>
    <t>Security Previsión (2)</t>
  </si>
  <si>
    <t>La compañía presenta déficit de inversiones representativas de Reservas Técnicas y Patrimonio de Riesgo ascendente a M$15.963. Para solucionar dicho déficit, la compañía contrató créditos por M$300.000, los que fueron ingresados en una cuenta corriente bancaria de la compañía.</t>
  </si>
  <si>
    <t>(2)</t>
  </si>
  <si>
    <t>Con fecha 30 de junio de 2007, la compañía Security Rentas Seguros de Vida S.A. se ha fusionado con la compañía Seguros Vida Security Previsión S.A. Con fecha 31 de diciembre de 2007 la compañía Cigna Compañía de Seguros de Vida (Chile) S.A. se ha fusionado con la compañía Seguros Vida Security Previsión S.A.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</si>
</sst>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name val="MS Sans Serif"/>
      <family val="2"/>
    </font>
    <font>
      <sz val="10"/>
      <name val="MS Sans Serif"/>
      <family val="2"/>
    </font>
    <font>
      <sz val="8"/>
      <name val="MS Sans Serif"/>
      <family val="2"/>
    </font>
    <font>
      <sz val="10"/>
      <name val="MS Sans Serif"/>
    </font>
    <font>
      <b/>
      <sz val="10"/>
      <name val="MS Sans Serif"/>
    </font>
    <font>
      <sz val="10"/>
      <name val="Arial"/>
      <family val="2"/>
    </font>
    <font>
      <sz val="8"/>
      <name val="MS Sans Serif"/>
    </font>
    <font>
      <sz val="9"/>
      <name val="MS Sans Serif"/>
    </font>
    <font>
      <sz val="10"/>
      <name val="Times New Roman"/>
    </font>
    <font>
      <sz val="9"/>
      <name val="MS Sans Serif"/>
      <family val="2"/>
    </font>
  </fonts>
  <fills count="2">
    <fill>
      <patternFill patternType="none"/>
    </fill>
    <fill>
      <patternFill patternType="gray125"/>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2" fillId="0" borderId="0" applyNumberFormat="0" applyFill="0" applyBorder="0" applyAlignment="0" applyProtection="0"/>
    <xf numFmtId="40" fontId="2" fillId="0" borderId="0" applyFont="0" applyFill="0" applyBorder="0" applyAlignment="0" applyProtection="0"/>
    <xf numFmtId="0" fontId="6" fillId="0" borderId="0" applyFill="0"/>
    <xf numFmtId="0" fontId="4" fillId="0" borderId="0"/>
  </cellStyleXfs>
  <cellXfs count="87">
    <xf numFmtId="0" fontId="0" fillId="0" borderId="0" xfId="0"/>
    <xf numFmtId="0" fontId="4" fillId="0" borderId="0" xfId="0" quotePrefix="1" applyFont="1" applyFill="1" applyBorder="1" applyAlignment="1">
      <alignment horizontal="left"/>
    </xf>
    <xf numFmtId="0" fontId="4" fillId="0" borderId="0" xfId="0" applyFont="1" applyFill="1" applyBorder="1"/>
    <xf numFmtId="3" fontId="1" fillId="0" borderId="0" xfId="0" applyNumberFormat="1" applyFont="1" applyFill="1" applyBorder="1" applyAlignment="1">
      <alignment horizontal="left"/>
    </xf>
    <xf numFmtId="0" fontId="5" fillId="0" borderId="0" xfId="0" applyFont="1" applyFill="1" applyBorder="1"/>
    <xf numFmtId="3" fontId="2" fillId="0" borderId="0" xfId="0" quotePrefix="1" applyNumberFormat="1" applyFont="1" applyFill="1" applyBorder="1" applyAlignment="1">
      <alignment horizontal="left"/>
    </xf>
    <xf numFmtId="3" fontId="1" fillId="0" borderId="0" xfId="0" quotePrefix="1" applyNumberFormat="1" applyFont="1" applyFill="1" applyBorder="1" applyAlignment="1">
      <alignment horizontal="left"/>
    </xf>
    <xf numFmtId="3" fontId="1" fillId="0" borderId="0" xfId="0" applyNumberFormat="1" applyFont="1" applyFill="1" applyBorder="1" applyAlignment="1">
      <alignment horizontal="right"/>
    </xf>
    <xf numFmtId="3" fontId="4" fillId="0" borderId="0" xfId="0" applyNumberFormat="1" applyFont="1" applyFill="1" applyBorder="1" applyAlignment="1">
      <alignment horizontal="right"/>
    </xf>
    <xf numFmtId="0" fontId="7" fillId="0" borderId="0" xfId="0" quotePrefix="1"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left"/>
    </xf>
    <xf numFmtId="0" fontId="7" fillId="0" borderId="1" xfId="0" applyFont="1" applyFill="1" applyBorder="1"/>
    <xf numFmtId="3" fontId="7" fillId="0" borderId="2" xfId="0" quotePrefix="1" applyNumberFormat="1" applyFont="1" applyFill="1" applyBorder="1" applyAlignment="1">
      <alignment horizontal="left"/>
    </xf>
    <xf numFmtId="0" fontId="7" fillId="0" borderId="2" xfId="0" applyFont="1" applyFill="1" applyBorder="1" applyAlignment="1">
      <alignment horizontal="center"/>
    </xf>
    <xf numFmtId="0" fontId="7" fillId="0" borderId="1" xfId="0" applyFont="1" applyFill="1" applyBorder="1" applyAlignment="1">
      <alignment horizontal="center"/>
    </xf>
    <xf numFmtId="0" fontId="7" fillId="0" borderId="1" xfId="0" quotePrefix="1" applyFont="1" applyFill="1" applyBorder="1" applyAlignment="1">
      <alignment horizontal="center"/>
    </xf>
    <xf numFmtId="0" fontId="8" fillId="0" borderId="0" xfId="0" applyFont="1" applyFill="1" applyBorder="1"/>
    <xf numFmtId="3" fontId="7" fillId="0" borderId="0" xfId="0" applyNumberFormat="1" applyFont="1" applyFill="1" applyBorder="1" applyAlignment="1">
      <alignment horizontal="right"/>
    </xf>
    <xf numFmtId="0" fontId="7" fillId="0" borderId="0" xfId="0" applyFont="1" applyFill="1" applyBorder="1" applyAlignment="1">
      <alignment horizontal="center"/>
    </xf>
    <xf numFmtId="0" fontId="7" fillId="0" borderId="3" xfId="0" applyFont="1" applyFill="1" applyBorder="1"/>
    <xf numFmtId="0" fontId="7" fillId="0" borderId="3" xfId="0" applyFont="1" applyFill="1" applyBorder="1" applyAlignment="1">
      <alignment horizontal="center"/>
    </xf>
    <xf numFmtId="0" fontId="7" fillId="0" borderId="3" xfId="0" quotePrefix="1" applyFont="1" applyFill="1" applyBorder="1" applyAlignment="1">
      <alignment horizontal="center"/>
    </xf>
    <xf numFmtId="2" fontId="7" fillId="0" borderId="0" xfId="0" applyNumberFormat="1" applyFont="1" applyFill="1" applyBorder="1"/>
    <xf numFmtId="3" fontId="7" fillId="0" borderId="0" xfId="0" applyNumberFormat="1" applyFont="1" applyFill="1" applyBorder="1" applyAlignment="1">
      <alignment horizontal="center"/>
    </xf>
    <xf numFmtId="3" fontId="7" fillId="0" borderId="0" xfId="0" quotePrefix="1" applyNumberFormat="1" applyFont="1" applyFill="1" applyBorder="1" applyAlignment="1">
      <alignment horizontal="center"/>
    </xf>
    <xf numFmtId="2" fontId="7" fillId="0" borderId="0" xfId="0" applyNumberFormat="1" applyFont="1" applyFill="1" applyBorder="1" applyAlignment="1">
      <alignment horizontal="center"/>
    </xf>
    <xf numFmtId="0" fontId="7" fillId="0" borderId="0" xfId="0" applyNumberFormat="1" applyFont="1" applyFill="1" applyBorder="1" applyAlignment="1">
      <alignment horizontal="center"/>
    </xf>
    <xf numFmtId="3" fontId="7" fillId="0" borderId="0" xfId="0" applyNumberFormat="1" applyFont="1" applyFill="1" applyBorder="1"/>
    <xf numFmtId="2" fontId="4" fillId="0" borderId="0" xfId="0" applyNumberFormat="1" applyFont="1" applyFill="1" applyBorder="1"/>
    <xf numFmtId="3" fontId="4" fillId="0" borderId="0" xfId="0" applyNumberFormat="1" applyFont="1" applyFill="1" applyBorder="1"/>
    <xf numFmtId="2" fontId="7" fillId="0" borderId="2" xfId="0" applyNumberFormat="1" applyFont="1" applyFill="1" applyBorder="1" applyAlignment="1">
      <alignment horizontal="center"/>
    </xf>
    <xf numFmtId="3" fontId="7" fillId="0" borderId="1" xfId="0" quotePrefix="1" applyNumberFormat="1" applyFont="1" applyFill="1" applyBorder="1" applyAlignment="1">
      <alignment horizontal="center"/>
    </xf>
    <xf numFmtId="3" fontId="7" fillId="0" borderId="1" xfId="0" applyNumberFormat="1" applyFont="1" applyFill="1" applyBorder="1" applyAlignment="1">
      <alignment horizontal="center"/>
    </xf>
    <xf numFmtId="2" fontId="7" fillId="0" borderId="3" xfId="0" applyNumberFormat="1" applyFont="1" applyFill="1" applyBorder="1"/>
    <xf numFmtId="3" fontId="7" fillId="0" borderId="3" xfId="0" applyNumberFormat="1" applyFont="1" applyFill="1" applyBorder="1" applyAlignment="1">
      <alignment horizontal="center"/>
    </xf>
    <xf numFmtId="0" fontId="9" fillId="0" borderId="0" xfId="0" applyFont="1" applyFill="1" applyBorder="1"/>
    <xf numFmtId="3" fontId="1" fillId="0" borderId="0" xfId="0" applyNumberFormat="1" applyFont="1" applyFill="1" applyBorder="1" applyAlignment="1"/>
    <xf numFmtId="3" fontId="4" fillId="0" borderId="3" xfId="0"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1" xfId="0" quotePrefix="1" applyNumberFormat="1" applyFont="1" applyFill="1" applyBorder="1" applyAlignment="1">
      <alignment horizontal="right"/>
    </xf>
    <xf numFmtId="3" fontId="7" fillId="0" borderId="0" xfId="0" quotePrefix="1" applyNumberFormat="1" applyFont="1" applyFill="1" applyBorder="1" applyAlignment="1">
      <alignment horizontal="right"/>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xf>
    <xf numFmtId="3" fontId="7" fillId="0" borderId="3" xfId="0" quotePrefix="1" applyNumberFormat="1" applyFont="1" applyFill="1" applyBorder="1" applyAlignment="1">
      <alignment horizontal="right"/>
    </xf>
    <xf numFmtId="3" fontId="7" fillId="0" borderId="3" xfId="0" quotePrefix="1" applyNumberFormat="1" applyFont="1" applyFill="1" applyBorder="1" applyAlignment="1">
      <alignment horizontal="center"/>
    </xf>
    <xf numFmtId="3" fontId="7" fillId="0" borderId="3" xfId="0" applyNumberFormat="1" applyFont="1" applyFill="1" applyBorder="1" applyAlignment="1">
      <alignment horizontal="right"/>
    </xf>
    <xf numFmtId="4"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0" xfId="0" applyNumberFormat="1" applyFont="1" applyFill="1" applyBorder="1" applyAlignment="1">
      <alignment horizontal="left"/>
    </xf>
    <xf numFmtId="4" fontId="2" fillId="0" borderId="0" xfId="0" applyNumberFormat="1" applyFont="1" applyFill="1" applyBorder="1" applyAlignment="1">
      <alignment horizontal="right"/>
    </xf>
    <xf numFmtId="3" fontId="4" fillId="0" borderId="2" xfId="0" applyNumberFormat="1" applyFont="1" applyFill="1" applyBorder="1" applyAlignment="1">
      <alignment horizontal="right"/>
    </xf>
    <xf numFmtId="4" fontId="4" fillId="0" borderId="2" xfId="0" applyNumberFormat="1" applyFont="1" applyFill="1" applyBorder="1" applyAlignment="1">
      <alignment horizontal="right"/>
    </xf>
    <xf numFmtId="3" fontId="7" fillId="0" borderId="0" xfId="0" applyNumberFormat="1" applyFont="1" applyFill="1" applyBorder="1" applyAlignment="1">
      <alignment horizontal="left"/>
    </xf>
    <xf numFmtId="3" fontId="4" fillId="0" borderId="0" xfId="0" applyNumberFormat="1" applyFont="1" applyFill="1" applyBorder="1" applyAlignment="1">
      <alignment horizontal="left"/>
    </xf>
    <xf numFmtId="3" fontId="3" fillId="0" borderId="2" xfId="0" applyNumberFormat="1" applyFont="1" applyFill="1" applyBorder="1" applyAlignment="1">
      <alignment horizontal="left"/>
    </xf>
    <xf numFmtId="3" fontId="4" fillId="0" borderId="3" xfId="0" applyNumberFormat="1" applyFont="1" applyFill="1" applyBorder="1" applyAlignment="1">
      <alignment horizontal="left"/>
    </xf>
    <xf numFmtId="4" fontId="4" fillId="0" borderId="3" xfId="0" applyNumberFormat="1" applyFont="1" applyFill="1" applyBorder="1" applyAlignment="1">
      <alignment horizontal="right"/>
    </xf>
    <xf numFmtId="3" fontId="2" fillId="0" borderId="3" xfId="0" applyNumberFormat="1" applyFont="1" applyFill="1" applyBorder="1" applyAlignment="1">
      <alignment horizontal="right"/>
    </xf>
    <xf numFmtId="3" fontId="10" fillId="0" borderId="0" xfId="0" applyNumberFormat="1" applyFont="1" applyFill="1" applyBorder="1" applyAlignment="1">
      <alignment horizontal="left" vertical="top"/>
    </xf>
    <xf numFmtId="3" fontId="8" fillId="0" borderId="0" xfId="0" applyNumberFormat="1" applyFont="1" applyFill="1" applyBorder="1" applyAlignment="1">
      <alignment horizontal="justify" vertical="top" wrapText="1"/>
    </xf>
    <xf numFmtId="0" fontId="7" fillId="0" borderId="0" xfId="0" applyFont="1" applyFill="1" applyBorder="1" applyAlignment="1">
      <alignment horizontal="right"/>
    </xf>
    <xf numFmtId="3" fontId="3"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xf>
    <xf numFmtId="3" fontId="4" fillId="0" borderId="3" xfId="0" applyNumberFormat="1" applyFont="1" applyFill="1" applyBorder="1" applyAlignment="1">
      <alignment horizontal="center"/>
    </xf>
    <xf numFmtId="3" fontId="4" fillId="0" borderId="2" xfId="0" applyNumberFormat="1" applyFont="1" applyFill="1" applyBorder="1" applyAlignment="1">
      <alignment horizontal="left"/>
    </xf>
    <xf numFmtId="3" fontId="7" fillId="0" borderId="0" xfId="0" quotePrefix="1" applyNumberFormat="1" applyFont="1" applyFill="1" applyBorder="1" applyAlignment="1">
      <alignment horizontal="left"/>
    </xf>
    <xf numFmtId="3" fontId="1" fillId="0" borderId="4" xfId="0" applyNumberFormat="1" applyFont="1" applyFill="1" applyBorder="1" applyAlignment="1">
      <alignment horizontal="left"/>
    </xf>
    <xf numFmtId="3" fontId="4" fillId="0" borderId="4" xfId="0" applyNumberFormat="1" applyFont="1" applyFill="1" applyBorder="1" applyAlignment="1">
      <alignment horizontal="left"/>
    </xf>
    <xf numFmtId="3" fontId="4" fillId="0" borderId="4" xfId="0" applyNumberFormat="1" applyFont="1" applyFill="1" applyBorder="1" applyAlignment="1">
      <alignment horizontal="right"/>
    </xf>
    <xf numFmtId="4" fontId="4" fillId="0" borderId="4" xfId="0" applyNumberFormat="1" applyFont="1" applyFill="1" applyBorder="1" applyAlignment="1">
      <alignment horizontal="right"/>
    </xf>
    <xf numFmtId="3" fontId="2" fillId="0" borderId="4" xfId="0"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0" xfId="0" quotePrefix="1" applyNumberFormat="1" applyFont="1" applyFill="1" applyBorder="1" applyAlignment="1">
      <alignment horizontal="left"/>
    </xf>
    <xf numFmtId="4" fontId="4" fillId="0" borderId="0" xfId="0" applyNumberFormat="1" applyFont="1" applyFill="1" applyBorder="1" applyAlignment="1">
      <alignment horizontal="left"/>
    </xf>
    <xf numFmtId="3" fontId="4" fillId="0" borderId="0" xfId="0" quotePrefix="1" applyNumberFormat="1" applyFont="1" applyFill="1" applyBorder="1" applyAlignment="1">
      <alignment horizontal="right" vertical="top"/>
    </xf>
    <xf numFmtId="3" fontId="1" fillId="0" borderId="0" xfId="5" applyNumberFormat="1" applyFont="1" applyAlignment="1">
      <alignment horizontal="left"/>
    </xf>
    <xf numFmtId="3" fontId="1" fillId="0" borderId="0" xfId="5" applyNumberFormat="1" applyFont="1" applyAlignment="1">
      <alignment horizontal="left"/>
    </xf>
    <xf numFmtId="3" fontId="1" fillId="0" borderId="0" xfId="5" applyNumberFormat="1" applyFont="1" applyAlignment="1">
      <alignment horizontal="left"/>
    </xf>
    <xf numFmtId="3" fontId="1" fillId="0" borderId="0" xfId="5" applyNumberFormat="1" applyFont="1" applyAlignment="1">
      <alignment horizontal="left"/>
    </xf>
    <xf numFmtId="3" fontId="2" fillId="0" borderId="0" xfId="0" quotePrefix="1" applyNumberFormat="1" applyFont="1" applyFill="1" applyBorder="1" applyAlignment="1">
      <alignment horizontal="left"/>
    </xf>
    <xf numFmtId="0" fontId="4" fillId="0" borderId="0" xfId="0" applyFont="1" applyFill="1" applyBorder="1" applyAlignment="1">
      <alignment horizontal="left"/>
    </xf>
    <xf numFmtId="3" fontId="8" fillId="0" borderId="0" xfId="0" applyNumberFormat="1" applyFont="1" applyFill="1" applyBorder="1" applyAlignment="1">
      <alignment horizontal="justify" vertical="top" wrapText="1"/>
    </xf>
    <xf numFmtId="3" fontId="7" fillId="0" borderId="2" xfId="0" quotePrefix="1" applyNumberFormat="1" applyFont="1" applyFill="1" applyBorder="1" applyAlignment="1">
      <alignment horizontal="center"/>
    </xf>
    <xf numFmtId="3" fontId="4" fillId="0" borderId="0" xfId="0" applyNumberFormat="1" applyFont="1" applyFill="1" applyBorder="1" applyAlignment="1">
      <alignment horizontal="left"/>
    </xf>
    <xf numFmtId="3" fontId="7" fillId="0" borderId="2" xfId="0" applyNumberFormat="1" applyFont="1" applyFill="1" applyBorder="1" applyAlignment="1">
      <alignment horizontal="center"/>
    </xf>
    <xf numFmtId="3" fontId="4" fillId="0" borderId="0" xfId="0" applyNumberFormat="1" applyFont="1" applyFill="1" applyBorder="1" applyAlignment="1">
      <alignment horizontal="justify"/>
    </xf>
  </cellXfs>
  <cellStyles count="6">
    <cellStyle name="_x000a_386grabber=M" xfId="2"/>
    <cellStyle name="Millares 2" xfId="3"/>
    <cellStyle name="Normal" xfId="0" builtinId="0"/>
    <cellStyle name="Normal 2" xfId="1"/>
    <cellStyle name="Normal 3" xfId="4"/>
    <cellStyle name="Normal 4"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tabSelected="1"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12" width="11.42578125" style="2"/>
    <col min="13" max="13" width="12.28515625" style="2" bestFit="1" customWidth="1"/>
    <col min="14"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2" x14ac:dyDescent="0.2">
      <c r="A1" s="76" t="s">
        <v>46</v>
      </c>
    </row>
    <row r="2" spans="1:12" x14ac:dyDescent="0.2">
      <c r="A2" s="1"/>
    </row>
    <row r="3" spans="1:12" x14ac:dyDescent="0.2">
      <c r="A3" s="3" t="s">
        <v>0</v>
      </c>
      <c r="B3" s="4"/>
    </row>
    <row r="4" spans="1:12" x14ac:dyDescent="0.2">
      <c r="A4" s="5" t="s">
        <v>35</v>
      </c>
      <c r="B4" s="6"/>
      <c r="C4" s="7"/>
      <c r="D4" s="7"/>
      <c r="E4" s="8"/>
    </row>
    <row r="6" spans="1:12" x14ac:dyDescent="0.2">
      <c r="A6" s="9" t="s">
        <v>1</v>
      </c>
      <c r="B6" s="10"/>
      <c r="C6" s="9"/>
      <c r="D6" s="10"/>
    </row>
    <row r="7" spans="1:12" x14ac:dyDescent="0.2">
      <c r="A7" s="11" t="s">
        <v>2</v>
      </c>
      <c r="B7" s="12"/>
      <c r="C7" s="12"/>
      <c r="D7" s="13" t="s">
        <v>36</v>
      </c>
      <c r="E7" s="14"/>
      <c r="F7" s="15" t="s">
        <v>4</v>
      </c>
      <c r="G7" s="15" t="s">
        <v>5</v>
      </c>
      <c r="H7" s="16" t="s">
        <v>6</v>
      </c>
      <c r="I7" s="15" t="s">
        <v>4</v>
      </c>
      <c r="J7" s="15" t="s">
        <v>5</v>
      </c>
      <c r="K7" s="16" t="s">
        <v>6</v>
      </c>
      <c r="L7" s="17"/>
    </row>
    <row r="8" spans="1:12" x14ac:dyDescent="0.2">
      <c r="A8" s="10"/>
      <c r="B8" s="10"/>
      <c r="C8" s="10"/>
      <c r="D8" s="18" t="s">
        <v>7</v>
      </c>
      <c r="E8" s="18" t="s">
        <v>8</v>
      </c>
      <c r="F8" s="19" t="s">
        <v>37</v>
      </c>
      <c r="G8" s="19" t="s">
        <v>10</v>
      </c>
      <c r="H8" s="19" t="s">
        <v>38</v>
      </c>
      <c r="I8" s="19" t="s">
        <v>39</v>
      </c>
      <c r="J8" s="19" t="s">
        <v>10</v>
      </c>
      <c r="K8" s="19" t="s">
        <v>38</v>
      </c>
    </row>
    <row r="9" spans="1:12" x14ac:dyDescent="0.2">
      <c r="A9" s="20"/>
      <c r="B9" s="20"/>
      <c r="C9" s="20"/>
      <c r="D9" s="20"/>
      <c r="E9" s="20"/>
      <c r="F9" s="21" t="s">
        <v>40</v>
      </c>
      <c r="G9" s="21" t="s">
        <v>41</v>
      </c>
      <c r="H9" s="21" t="s">
        <v>41</v>
      </c>
      <c r="I9" s="21" t="s">
        <v>16</v>
      </c>
      <c r="J9" s="22" t="s">
        <v>17</v>
      </c>
      <c r="K9" s="22" t="s">
        <v>17</v>
      </c>
    </row>
    <row r="10" spans="1:12" x14ac:dyDescent="0.2">
      <c r="A10" s="10"/>
      <c r="B10" s="10"/>
      <c r="C10" s="10"/>
      <c r="D10" s="23"/>
      <c r="E10" s="23"/>
      <c r="F10" s="24"/>
      <c r="G10" s="24"/>
      <c r="H10" s="24"/>
      <c r="I10" s="24"/>
      <c r="J10" s="25"/>
      <c r="K10" s="25"/>
    </row>
    <row r="11" spans="1:12" x14ac:dyDescent="0.2">
      <c r="A11" s="9" t="s">
        <v>18</v>
      </c>
      <c r="B11" s="10"/>
      <c r="C11" s="10"/>
      <c r="D11" s="26">
        <v>1.1100000000000001</v>
      </c>
      <c r="E11" s="27">
        <v>5.0000000000000001E-3</v>
      </c>
      <c r="F11" s="28">
        <v>64443993</v>
      </c>
      <c r="G11" s="28">
        <f>1088069+61855869+1500055</f>
        <v>64443993</v>
      </c>
      <c r="H11" s="28">
        <f>G11-F11</f>
        <v>0</v>
      </c>
      <c r="I11" s="28">
        <v>58296892</v>
      </c>
      <c r="J11" s="28">
        <v>58472575</v>
      </c>
      <c r="K11" s="28">
        <f>J11-I11</f>
        <v>175683</v>
      </c>
    </row>
    <row r="12" spans="1:12" x14ac:dyDescent="0.2">
      <c r="A12" s="9" t="s">
        <v>19</v>
      </c>
      <c r="B12" s="10"/>
      <c r="C12" s="10"/>
      <c r="D12" s="26">
        <v>0.44</v>
      </c>
      <c r="E12" s="26">
        <v>0.01</v>
      </c>
      <c r="F12" s="28">
        <v>18232991</v>
      </c>
      <c r="G12" s="28">
        <f>450862+11257059+6525070</f>
        <v>18232991</v>
      </c>
      <c r="H12" s="28">
        <f>G12-F12</f>
        <v>0</v>
      </c>
      <c r="I12" s="28">
        <v>42231055</v>
      </c>
      <c r="J12" s="28">
        <v>42709993</v>
      </c>
      <c r="K12" s="28">
        <f>J12-I12</f>
        <v>478938</v>
      </c>
    </row>
    <row r="13" spans="1:12" x14ac:dyDescent="0.2">
      <c r="A13" s="10"/>
      <c r="B13" s="10"/>
      <c r="C13" s="10"/>
      <c r="D13" s="23"/>
      <c r="E13" s="23"/>
      <c r="F13" s="28"/>
      <c r="G13" s="28"/>
      <c r="H13" s="28"/>
      <c r="I13" s="28"/>
      <c r="J13" s="28"/>
      <c r="K13" s="28"/>
    </row>
    <row r="14" spans="1:12" s="10" customFormat="1" x14ac:dyDescent="0.2">
      <c r="A14" s="2"/>
      <c r="B14" s="2"/>
      <c r="C14" s="2"/>
      <c r="D14" s="29"/>
      <c r="E14" s="29"/>
      <c r="F14" s="30"/>
      <c r="G14" s="30"/>
      <c r="H14" s="30"/>
      <c r="I14" s="30"/>
      <c r="J14" s="30"/>
      <c r="K14" s="30"/>
      <c r="L14" s="2"/>
    </row>
    <row r="15" spans="1:12" s="10" customFormat="1" x14ac:dyDescent="0.2">
      <c r="A15" s="9" t="s">
        <v>20</v>
      </c>
      <c r="C15" s="9"/>
      <c r="D15" s="9"/>
      <c r="F15" s="9"/>
      <c r="G15" s="30"/>
      <c r="H15" s="30"/>
      <c r="I15" s="30"/>
      <c r="J15" s="30"/>
      <c r="K15" s="30"/>
      <c r="L15" s="2"/>
    </row>
    <row r="16" spans="1:12" s="10" customFormat="1" x14ac:dyDescent="0.2">
      <c r="A16" s="11" t="s">
        <v>2</v>
      </c>
      <c r="B16" s="12"/>
      <c r="C16" s="12"/>
      <c r="D16" s="13" t="s">
        <v>36</v>
      </c>
      <c r="E16" s="31"/>
      <c r="F16" s="32" t="s">
        <v>21</v>
      </c>
      <c r="G16" s="32" t="s">
        <v>21</v>
      </c>
      <c r="H16" s="33" t="s">
        <v>22</v>
      </c>
      <c r="I16" s="33" t="s">
        <v>23</v>
      </c>
      <c r="J16" s="28"/>
      <c r="K16" s="28"/>
      <c r="L16" s="2"/>
    </row>
    <row r="17" spans="1:13" s="10" customFormat="1" ht="10.5" x14ac:dyDescent="0.15">
      <c r="D17" s="18" t="s">
        <v>7</v>
      </c>
      <c r="E17" s="18" t="s">
        <v>8</v>
      </c>
      <c r="F17" s="25" t="s">
        <v>42</v>
      </c>
      <c r="G17" s="25" t="s">
        <v>42</v>
      </c>
      <c r="H17" s="24" t="s">
        <v>25</v>
      </c>
      <c r="I17" s="24" t="s">
        <v>38</v>
      </c>
      <c r="J17" s="28"/>
      <c r="K17" s="28"/>
    </row>
    <row r="18" spans="1:13" x14ac:dyDescent="0.2">
      <c r="A18" s="10"/>
      <c r="B18" s="10"/>
      <c r="C18" s="10"/>
      <c r="D18" s="23"/>
      <c r="E18" s="23"/>
      <c r="F18" s="25" t="s">
        <v>43</v>
      </c>
      <c r="G18" s="24" t="s">
        <v>27</v>
      </c>
      <c r="H18" s="25" t="s">
        <v>44</v>
      </c>
      <c r="I18" s="24" t="s">
        <v>45</v>
      </c>
      <c r="J18" s="28"/>
      <c r="K18" s="28"/>
      <c r="L18" s="10"/>
    </row>
    <row r="19" spans="1:13" s="10" customFormat="1" ht="10.5" x14ac:dyDescent="0.15">
      <c r="A19" s="20"/>
      <c r="B19" s="20"/>
      <c r="C19" s="20"/>
      <c r="D19" s="34"/>
      <c r="E19" s="34"/>
      <c r="F19" s="35" t="s">
        <v>30</v>
      </c>
      <c r="G19" s="35" t="s">
        <v>31</v>
      </c>
      <c r="H19" s="35" t="s">
        <v>32</v>
      </c>
      <c r="I19" s="35" t="s">
        <v>32</v>
      </c>
      <c r="J19" s="28"/>
      <c r="K19" s="28"/>
    </row>
    <row r="20" spans="1:13" x14ac:dyDescent="0.2">
      <c r="A20" s="10"/>
      <c r="B20" s="10"/>
      <c r="D20" s="29"/>
      <c r="E20" s="29"/>
      <c r="F20" s="30"/>
      <c r="G20" s="30"/>
      <c r="H20" s="30"/>
      <c r="I20" s="30"/>
      <c r="J20" s="30"/>
      <c r="K20" s="30"/>
      <c r="L20" s="10"/>
    </row>
    <row r="21" spans="1:13" x14ac:dyDescent="0.2">
      <c r="A21" s="10" t="s">
        <v>33</v>
      </c>
      <c r="B21" s="10"/>
      <c r="C21" s="10"/>
      <c r="D21" s="26">
        <v>1.27</v>
      </c>
      <c r="E21" s="26">
        <v>0.01</v>
      </c>
      <c r="F21" s="28">
        <v>56213405</v>
      </c>
      <c r="G21" s="28">
        <v>48949424</v>
      </c>
      <c r="H21" s="28">
        <v>105449902</v>
      </c>
      <c r="I21" s="28">
        <f>+H21-G21-F21</f>
        <v>287073</v>
      </c>
      <c r="J21" s="28"/>
      <c r="K21" s="28"/>
    </row>
    <row r="22" spans="1:13" x14ac:dyDescent="0.2">
      <c r="D22" s="29"/>
      <c r="E22" s="29"/>
      <c r="F22" s="30"/>
      <c r="G22" s="30"/>
      <c r="H22" s="30"/>
      <c r="I22" s="30"/>
      <c r="J22" s="30"/>
      <c r="K22" s="30"/>
      <c r="L22" s="10"/>
    </row>
    <row r="23" spans="1:13" x14ac:dyDescent="0.2">
      <c r="D23" s="29"/>
      <c r="E23" s="29"/>
      <c r="F23" s="30"/>
      <c r="G23" s="30"/>
      <c r="H23" s="30"/>
      <c r="I23" s="30"/>
      <c r="J23" s="30"/>
      <c r="K23" s="30"/>
    </row>
    <row r="24" spans="1:13" x14ac:dyDescent="0.2">
      <c r="A24" s="36"/>
      <c r="B24" s="36"/>
      <c r="C24" s="36"/>
      <c r="D24" s="36"/>
      <c r="E24" s="36"/>
      <c r="F24" s="36"/>
      <c r="G24" s="36"/>
      <c r="H24" s="36"/>
      <c r="I24" s="36"/>
      <c r="J24" s="36"/>
      <c r="K24" s="36"/>
    </row>
    <row r="25" spans="1:13" x14ac:dyDescent="0.2">
      <c r="A25" s="3" t="s">
        <v>46</v>
      </c>
      <c r="B25" s="3"/>
      <c r="C25" s="7"/>
      <c r="D25" s="7"/>
      <c r="E25" s="37"/>
      <c r="F25" s="8"/>
      <c r="G25" s="8"/>
      <c r="H25" s="8"/>
      <c r="I25" s="8"/>
      <c r="J25" s="8"/>
      <c r="K25" s="8"/>
      <c r="L25" s="8"/>
      <c r="M25" s="8"/>
    </row>
    <row r="26" spans="1:13" x14ac:dyDescent="0.2">
      <c r="A26" s="6" t="s">
        <v>47</v>
      </c>
      <c r="B26" s="6"/>
      <c r="C26" s="7"/>
      <c r="D26" s="7"/>
      <c r="E26" s="8"/>
      <c r="F26" s="8"/>
      <c r="G26" s="8"/>
      <c r="H26" s="8"/>
      <c r="I26" s="8"/>
      <c r="J26" s="8"/>
      <c r="K26" s="8"/>
      <c r="L26" s="8"/>
      <c r="M26" s="8"/>
    </row>
    <row r="27" spans="1:13" x14ac:dyDescent="0.2">
      <c r="A27" s="5" t="s">
        <v>35</v>
      </c>
      <c r="B27" s="6"/>
      <c r="C27" s="7"/>
      <c r="D27" s="7"/>
      <c r="E27" s="8"/>
      <c r="F27" s="8"/>
      <c r="G27" s="8"/>
      <c r="H27" s="8"/>
      <c r="I27" s="8"/>
      <c r="J27" s="8"/>
      <c r="K27" s="8"/>
      <c r="L27" s="8"/>
      <c r="M27" s="38"/>
    </row>
    <row r="28" spans="1:13" x14ac:dyDescent="0.2">
      <c r="A28" s="11" t="s">
        <v>2</v>
      </c>
      <c r="B28" s="11"/>
      <c r="C28" s="39" t="s">
        <v>16</v>
      </c>
      <c r="D28" s="83" t="s">
        <v>3</v>
      </c>
      <c r="E28" s="83"/>
      <c r="F28" s="39" t="s">
        <v>48</v>
      </c>
      <c r="G28" s="40" t="s">
        <v>49</v>
      </c>
      <c r="H28" s="40" t="s">
        <v>50</v>
      </c>
      <c r="I28" s="39" t="s">
        <v>51</v>
      </c>
      <c r="J28" s="39" t="s">
        <v>5</v>
      </c>
      <c r="K28" s="39" t="s">
        <v>5</v>
      </c>
      <c r="L28" s="39" t="s">
        <v>5</v>
      </c>
      <c r="M28" s="39" t="s">
        <v>5</v>
      </c>
    </row>
    <row r="29" spans="1:13" x14ac:dyDescent="0.2">
      <c r="A29" s="8"/>
      <c r="B29" s="8"/>
      <c r="C29" s="41" t="s">
        <v>52</v>
      </c>
      <c r="D29" s="18" t="s">
        <v>7</v>
      </c>
      <c r="E29" s="18" t="s">
        <v>8</v>
      </c>
      <c r="F29" s="41" t="s">
        <v>53</v>
      </c>
      <c r="G29" s="41" t="s">
        <v>54</v>
      </c>
      <c r="H29" s="18" t="s">
        <v>55</v>
      </c>
      <c r="I29" s="18" t="s">
        <v>56</v>
      </c>
      <c r="J29" s="18" t="s">
        <v>57</v>
      </c>
      <c r="K29" s="18" t="s">
        <v>58</v>
      </c>
      <c r="L29" s="42" t="s">
        <v>59</v>
      </c>
      <c r="M29" s="43" t="s">
        <v>60</v>
      </c>
    </row>
    <row r="30" spans="1:13" x14ac:dyDescent="0.2">
      <c r="A30" s="38"/>
      <c r="B30" s="38"/>
      <c r="C30" s="38"/>
      <c r="D30" s="38"/>
      <c r="E30" s="38"/>
      <c r="F30" s="44" t="s">
        <v>61</v>
      </c>
      <c r="G30" s="45" t="s">
        <v>52</v>
      </c>
      <c r="H30" s="44" t="s">
        <v>61</v>
      </c>
      <c r="I30" s="46"/>
      <c r="J30" s="38"/>
      <c r="K30" s="38"/>
      <c r="L30" s="38"/>
      <c r="M30" s="38"/>
    </row>
    <row r="31" spans="1:13" x14ac:dyDescent="0.2">
      <c r="A31" s="8"/>
      <c r="B31" s="8"/>
      <c r="C31" s="8"/>
      <c r="D31" s="8"/>
      <c r="E31" s="8"/>
      <c r="F31" s="41"/>
      <c r="G31" s="25"/>
      <c r="H31" s="41"/>
      <c r="I31" s="18"/>
      <c r="J31" s="8"/>
      <c r="K31" s="8"/>
      <c r="L31" s="8"/>
      <c r="M31" s="8"/>
    </row>
    <row r="32" spans="1:13" x14ac:dyDescent="0.2">
      <c r="A32" s="84" t="s">
        <v>62</v>
      </c>
      <c r="B32" s="84"/>
      <c r="C32" s="8">
        <v>1653567</v>
      </c>
      <c r="D32" s="47">
        <v>0.27</v>
      </c>
      <c r="E32" s="47">
        <v>0.19</v>
      </c>
      <c r="F32" s="8">
        <v>1826108</v>
      </c>
      <c r="G32" s="8">
        <f t="shared" ref="G32:G57" si="0">+J32+K32+L32+M32</f>
        <v>2047208</v>
      </c>
      <c r="H32" s="48">
        <f t="shared" ref="H32:H58" si="1">G32-F32</f>
        <v>221100</v>
      </c>
      <c r="I32" s="8">
        <v>0</v>
      </c>
      <c r="J32" s="8">
        <v>0</v>
      </c>
      <c r="K32" s="8">
        <v>172541</v>
      </c>
      <c r="L32" s="8">
        <v>0</v>
      </c>
      <c r="M32" s="8">
        <v>1874667</v>
      </c>
    </row>
    <row r="33" spans="1:13" x14ac:dyDescent="0.2">
      <c r="A33" s="84" t="s">
        <v>63</v>
      </c>
      <c r="B33" s="84"/>
      <c r="C33" s="8">
        <v>1653567</v>
      </c>
      <c r="D33" s="47">
        <v>0.35</v>
      </c>
      <c r="E33" s="47">
        <v>0.32</v>
      </c>
      <c r="F33" s="8">
        <v>1703772</v>
      </c>
      <c r="G33" s="8">
        <f t="shared" si="0"/>
        <v>2062232</v>
      </c>
      <c r="H33" s="48">
        <f>G33-F33</f>
        <v>358460</v>
      </c>
      <c r="I33" s="8">
        <v>120871</v>
      </c>
      <c r="J33" s="8">
        <v>0</v>
      </c>
      <c r="K33" s="8">
        <f>50205+0</f>
        <v>50205</v>
      </c>
      <c r="L33" s="8">
        <v>0</v>
      </c>
      <c r="M33" s="8">
        <v>2012027</v>
      </c>
    </row>
    <row r="34" spans="1:13" x14ac:dyDescent="0.2">
      <c r="A34" s="49" t="s">
        <v>64</v>
      </c>
      <c r="B34" s="49"/>
      <c r="C34" s="8">
        <v>4818214</v>
      </c>
      <c r="D34" s="47">
        <v>2.27</v>
      </c>
      <c r="E34" s="47">
        <v>0.53</v>
      </c>
      <c r="F34" s="8">
        <v>21073320</v>
      </c>
      <c r="G34" s="48">
        <f t="shared" si="0"/>
        <v>25035158</v>
      </c>
      <c r="H34" s="48">
        <f t="shared" si="1"/>
        <v>3961838</v>
      </c>
      <c r="I34" s="8">
        <v>1511923</v>
      </c>
      <c r="J34" s="8">
        <v>0</v>
      </c>
      <c r="K34" s="8">
        <f>2148248+13671547+10235+462454</f>
        <v>16292484</v>
      </c>
      <c r="L34" s="8">
        <v>0</v>
      </c>
      <c r="M34" s="8">
        <v>8742674</v>
      </c>
    </row>
    <row r="35" spans="1:13" x14ac:dyDescent="0.2">
      <c r="A35" s="49" t="s">
        <v>65</v>
      </c>
      <c r="B35" s="49"/>
      <c r="C35" s="8">
        <v>8058758</v>
      </c>
      <c r="D35" s="47">
        <v>6.72</v>
      </c>
      <c r="E35" s="47">
        <v>0.18</v>
      </c>
      <c r="F35" s="8">
        <v>130734783</v>
      </c>
      <c r="G35" s="48">
        <f t="shared" si="0"/>
        <v>140484143</v>
      </c>
      <c r="H35" s="48">
        <f>G35-F35</f>
        <v>9749360</v>
      </c>
      <c r="I35" s="8">
        <v>1936024</v>
      </c>
      <c r="J35" s="8">
        <v>116965218</v>
      </c>
      <c r="K35" s="8">
        <f>803633+4907174</f>
        <v>5710807</v>
      </c>
      <c r="L35" s="8">
        <v>0</v>
      </c>
      <c r="M35" s="8">
        <v>17808118</v>
      </c>
    </row>
    <row r="36" spans="1:13" x14ac:dyDescent="0.2">
      <c r="A36" s="49" t="s">
        <v>66</v>
      </c>
      <c r="B36" s="49"/>
      <c r="C36" s="8">
        <v>82262722</v>
      </c>
      <c r="D36" s="47">
        <v>7.63</v>
      </c>
      <c r="E36" s="47">
        <v>0.47</v>
      </c>
      <c r="F36" s="8">
        <v>1333660057</v>
      </c>
      <c r="G36" s="48">
        <f t="shared" si="0"/>
        <v>1408050613</v>
      </c>
      <c r="H36" s="48">
        <f>G36-F36</f>
        <v>74390556</v>
      </c>
      <c r="I36" s="8">
        <v>40814487</v>
      </c>
      <c r="J36" s="8">
        <v>1205184609</v>
      </c>
      <c r="K36" s="8">
        <f>3564145+31058446+8265+12331365</f>
        <v>46962221</v>
      </c>
      <c r="L36" s="8">
        <v>49</v>
      </c>
      <c r="M36" s="8">
        <v>155903734</v>
      </c>
    </row>
    <row r="37" spans="1:13" x14ac:dyDescent="0.2">
      <c r="A37" s="80" t="s">
        <v>67</v>
      </c>
      <c r="B37" s="81"/>
      <c r="C37" s="8">
        <v>5080585</v>
      </c>
      <c r="D37" s="47">
        <v>3.61</v>
      </c>
      <c r="E37" s="47">
        <v>0.41</v>
      </c>
      <c r="F37" s="8">
        <v>53848980</v>
      </c>
      <c r="G37" s="8">
        <f t="shared" si="0"/>
        <v>65159806</v>
      </c>
      <c r="H37" s="48">
        <f t="shared" si="1"/>
        <v>11310826</v>
      </c>
      <c r="I37" s="8">
        <v>335394</v>
      </c>
      <c r="J37" s="8">
        <v>26407640</v>
      </c>
      <c r="K37" s="8">
        <f>9387542+603614+9992115+2608050</f>
        <v>22591321</v>
      </c>
      <c r="L37" s="8">
        <v>0</v>
      </c>
      <c r="M37" s="8">
        <v>16160845</v>
      </c>
    </row>
    <row r="38" spans="1:13" x14ac:dyDescent="0.2">
      <c r="A38" s="49" t="s">
        <v>68</v>
      </c>
      <c r="B38" s="5"/>
      <c r="C38" s="8">
        <v>11606190</v>
      </c>
      <c r="D38" s="47">
        <v>2.2400000000000002</v>
      </c>
      <c r="E38" s="47">
        <v>0.72</v>
      </c>
      <c r="F38" s="8">
        <v>36065267</v>
      </c>
      <c r="G38" s="48">
        <f t="shared" si="0"/>
        <v>40577569</v>
      </c>
      <c r="H38" s="48">
        <f t="shared" si="1"/>
        <v>4512302</v>
      </c>
      <c r="I38" s="8">
        <v>335976</v>
      </c>
      <c r="J38" s="8">
        <v>0</v>
      </c>
      <c r="K38" s="8">
        <f>2560765+21898312</f>
        <v>24459077</v>
      </c>
      <c r="L38" s="8">
        <v>0</v>
      </c>
      <c r="M38" s="8">
        <v>16118492</v>
      </c>
    </row>
    <row r="39" spans="1:13" x14ac:dyDescent="0.2">
      <c r="A39" s="49" t="s">
        <v>69</v>
      </c>
      <c r="B39" s="5"/>
      <c r="C39" s="8">
        <v>40767114</v>
      </c>
      <c r="D39" s="47">
        <v>8.65</v>
      </c>
      <c r="E39" s="47">
        <v>0.39</v>
      </c>
      <c r="F39" s="8">
        <v>684982033</v>
      </c>
      <c r="G39" s="8">
        <f t="shared" si="0"/>
        <v>715975960</v>
      </c>
      <c r="H39" s="48">
        <f t="shared" si="1"/>
        <v>30993927</v>
      </c>
      <c r="I39" s="8">
        <v>4257829</v>
      </c>
      <c r="J39" s="8">
        <v>554876190</v>
      </c>
      <c r="K39" s="8">
        <f>10257545+29832258+6463392+39607115</f>
        <v>86160310</v>
      </c>
      <c r="L39" s="8">
        <v>3268836</v>
      </c>
      <c r="M39" s="8">
        <v>71670624</v>
      </c>
    </row>
    <row r="40" spans="1:13" x14ac:dyDescent="0.2">
      <c r="A40" s="49" t="s">
        <v>70</v>
      </c>
      <c r="B40" s="49"/>
      <c r="C40" s="48">
        <v>6351882</v>
      </c>
      <c r="D40" s="50">
        <v>4.43</v>
      </c>
      <c r="E40" s="50">
        <v>0.08</v>
      </c>
      <c r="F40" s="48">
        <v>92971365</v>
      </c>
      <c r="G40" s="48">
        <f t="shared" si="0"/>
        <v>106399682</v>
      </c>
      <c r="H40" s="48">
        <f t="shared" si="1"/>
        <v>13428317</v>
      </c>
      <c r="I40" s="48">
        <v>147671</v>
      </c>
      <c r="J40" s="48">
        <v>83685645</v>
      </c>
      <c r="K40" s="48">
        <f>1325626+754260+990222</f>
        <v>3070108</v>
      </c>
      <c r="L40" s="48">
        <v>0</v>
      </c>
      <c r="M40" s="48">
        <v>19643929</v>
      </c>
    </row>
    <row r="41" spans="1:13" x14ac:dyDescent="0.2">
      <c r="A41" s="49" t="s">
        <v>71</v>
      </c>
      <c r="B41" s="49"/>
      <c r="C41" s="48">
        <v>1653567</v>
      </c>
      <c r="D41" s="50">
        <v>0.23</v>
      </c>
      <c r="E41" s="50">
        <v>0.08</v>
      </c>
      <c r="F41" s="48">
        <v>1959849</v>
      </c>
      <c r="G41" s="8">
        <f t="shared" si="0"/>
        <v>2221708</v>
      </c>
      <c r="H41" s="48">
        <f>G41-F41</f>
        <v>261859</v>
      </c>
      <c r="I41" s="48">
        <v>138665</v>
      </c>
      <c r="J41" s="48">
        <v>0</v>
      </c>
      <c r="K41" s="48">
        <f>142136+164146</f>
        <v>306282</v>
      </c>
      <c r="L41" s="48">
        <v>0</v>
      </c>
      <c r="M41" s="48">
        <v>1915426</v>
      </c>
    </row>
    <row r="42" spans="1:13" x14ac:dyDescent="0.2">
      <c r="A42" s="49" t="s">
        <v>72</v>
      </c>
      <c r="B42" s="5"/>
      <c r="C42" s="8">
        <v>16838418</v>
      </c>
      <c r="D42" s="47">
        <v>5.1100000000000003</v>
      </c>
      <c r="E42" s="47">
        <v>0.2</v>
      </c>
      <c r="F42" s="8">
        <v>291987386</v>
      </c>
      <c r="G42" s="8">
        <f t="shared" si="0"/>
        <v>331557654</v>
      </c>
      <c r="H42" s="48">
        <f t="shared" si="1"/>
        <v>39570268</v>
      </c>
      <c r="I42" s="8">
        <v>661851</v>
      </c>
      <c r="J42" s="8">
        <v>272851098</v>
      </c>
      <c r="K42" s="8">
        <f>87181+2210689</f>
        <v>2297870</v>
      </c>
      <c r="L42" s="8">
        <v>0</v>
      </c>
      <c r="M42" s="8">
        <v>56408686</v>
      </c>
    </row>
    <row r="43" spans="1:13" x14ac:dyDescent="0.2">
      <c r="A43" s="49" t="s">
        <v>73</v>
      </c>
      <c r="B43" s="49"/>
      <c r="C43" s="8">
        <v>123058144</v>
      </c>
      <c r="D43" s="47">
        <v>6.19</v>
      </c>
      <c r="E43" s="47">
        <v>0.44</v>
      </c>
      <c r="F43" s="8">
        <v>1828967265</v>
      </c>
      <c r="G43" s="8">
        <f t="shared" si="0"/>
        <v>1962922175</v>
      </c>
      <c r="H43" s="48">
        <f t="shared" si="1"/>
        <v>133954910</v>
      </c>
      <c r="I43" s="8">
        <v>55269623</v>
      </c>
      <c r="J43" s="8">
        <v>1562267636</v>
      </c>
      <c r="K43" s="8">
        <f>2057084+44742366+56617210+15923255</f>
        <v>119339915</v>
      </c>
      <c r="L43" s="8">
        <v>482643</v>
      </c>
      <c r="M43" s="8">
        <v>280831981</v>
      </c>
    </row>
    <row r="44" spans="1:13" x14ac:dyDescent="0.2">
      <c r="A44" s="49" t="s">
        <v>74</v>
      </c>
      <c r="B44" s="49"/>
      <c r="C44" s="8">
        <v>22407450</v>
      </c>
      <c r="D44" s="47">
        <v>5.85</v>
      </c>
      <c r="E44" s="47">
        <v>0.17</v>
      </c>
      <c r="F44" s="8">
        <v>327303616</v>
      </c>
      <c r="G44" s="8">
        <f t="shared" si="0"/>
        <v>352990252</v>
      </c>
      <c r="H44" s="48">
        <f t="shared" si="1"/>
        <v>25686636</v>
      </c>
      <c r="I44" s="8">
        <v>7604065</v>
      </c>
      <c r="J44" s="8">
        <v>269154350</v>
      </c>
      <c r="K44" s="8">
        <f>2610572+12388214+1503735+12639238+0</f>
        <v>29141759</v>
      </c>
      <c r="L44" s="8">
        <v>390743</v>
      </c>
      <c r="M44" s="8">
        <v>54303400</v>
      </c>
    </row>
    <row r="45" spans="1:13" x14ac:dyDescent="0.2">
      <c r="A45" s="49" t="s">
        <v>75</v>
      </c>
      <c r="B45" s="49"/>
      <c r="C45" s="8">
        <v>24457935</v>
      </c>
      <c r="D45" s="47">
        <v>10.98</v>
      </c>
      <c r="E45" s="47">
        <v>0.4</v>
      </c>
      <c r="F45" s="8">
        <v>432267978</v>
      </c>
      <c r="G45" s="8">
        <f t="shared" si="0"/>
        <v>441817745</v>
      </c>
      <c r="H45" s="48">
        <f t="shared" si="1"/>
        <v>9549767</v>
      </c>
      <c r="I45" s="8">
        <v>4969669</v>
      </c>
      <c r="J45" s="8">
        <v>328818380</v>
      </c>
      <c r="K45" s="8">
        <f>2763988+15062630+30360922+30430534</f>
        <v>78618074</v>
      </c>
      <c r="L45" s="8">
        <v>314527</v>
      </c>
      <c r="M45" s="8">
        <v>34066764</v>
      </c>
    </row>
    <row r="46" spans="1:13" x14ac:dyDescent="0.2">
      <c r="A46" s="49" t="s">
        <v>76</v>
      </c>
      <c r="B46" s="49"/>
      <c r="C46" s="8">
        <v>1653567</v>
      </c>
      <c r="D46" s="47">
        <v>0.62</v>
      </c>
      <c r="E46" s="47">
        <v>0.04</v>
      </c>
      <c r="F46" s="8">
        <v>3366881</v>
      </c>
      <c r="G46" s="8">
        <f t="shared" si="0"/>
        <v>4063481</v>
      </c>
      <c r="H46" s="48">
        <f t="shared" si="1"/>
        <v>696600</v>
      </c>
      <c r="I46" s="8">
        <v>571579</v>
      </c>
      <c r="J46" s="8">
        <v>0</v>
      </c>
      <c r="K46" s="8">
        <f>372978+1340336</f>
        <v>1713314</v>
      </c>
      <c r="L46" s="8">
        <v>0</v>
      </c>
      <c r="M46" s="8">
        <v>2350167</v>
      </c>
    </row>
    <row r="47" spans="1:13" x14ac:dyDescent="0.2">
      <c r="A47" s="49" t="s">
        <v>77</v>
      </c>
      <c r="B47" s="49"/>
      <c r="C47" s="8">
        <v>94719531</v>
      </c>
      <c r="D47" s="47">
        <v>8.1</v>
      </c>
      <c r="E47" s="47">
        <v>0.11</v>
      </c>
      <c r="F47" s="8">
        <v>1607506410</v>
      </c>
      <c r="G47" s="48">
        <f t="shared" si="0"/>
        <v>1677106506</v>
      </c>
      <c r="H47" s="48">
        <f t="shared" si="1"/>
        <v>69600096</v>
      </c>
      <c r="I47" s="8">
        <v>10650700</v>
      </c>
      <c r="J47" s="8">
        <v>1374660506</v>
      </c>
      <c r="K47" s="8">
        <f>4703009+57259531+38052834+38054842</f>
        <v>138070216</v>
      </c>
      <c r="L47" s="8">
        <v>433984</v>
      </c>
      <c r="M47" s="8">
        <v>163941800</v>
      </c>
    </row>
    <row r="48" spans="1:13" x14ac:dyDescent="0.2">
      <c r="A48" s="49" t="s">
        <v>78</v>
      </c>
      <c r="B48" s="49"/>
      <c r="C48" s="8">
        <v>14161123</v>
      </c>
      <c r="D48" s="47">
        <v>2.9</v>
      </c>
      <c r="E48" s="47">
        <v>0.37</v>
      </c>
      <c r="F48" s="8">
        <v>153433461</v>
      </c>
      <c r="G48" s="48">
        <f t="shared" si="0"/>
        <v>173247657</v>
      </c>
      <c r="H48" s="48">
        <f>G48-F48</f>
        <v>19814196</v>
      </c>
      <c r="I48" s="8">
        <v>8384712</v>
      </c>
      <c r="J48" s="8">
        <v>31033645</v>
      </c>
      <c r="K48" s="8">
        <f>6154491+51498522+1996189+49301830</f>
        <v>108951032</v>
      </c>
      <c r="L48" s="8">
        <v>0</v>
      </c>
      <c r="M48" s="8">
        <v>33262980</v>
      </c>
    </row>
    <row r="49" spans="1:13" x14ac:dyDescent="0.2">
      <c r="A49" s="49" t="s">
        <v>79</v>
      </c>
      <c r="B49" s="49"/>
      <c r="C49" s="8">
        <v>2048703</v>
      </c>
      <c r="D49" s="47">
        <v>10.23</v>
      </c>
      <c r="E49" s="47">
        <v>0.61</v>
      </c>
      <c r="F49" s="8">
        <v>29054843</v>
      </c>
      <c r="G49" s="48">
        <f t="shared" si="0"/>
        <v>30497541</v>
      </c>
      <c r="H49" s="48">
        <f t="shared" ref="H49:H56" si="2">G49-F49</f>
        <v>1442698</v>
      </c>
      <c r="I49" s="8">
        <v>66683</v>
      </c>
      <c r="J49" s="8">
        <v>25881605</v>
      </c>
      <c r="K49" s="8">
        <f>125978+682581+347557</f>
        <v>1156116</v>
      </c>
      <c r="L49" s="8">
        <v>0</v>
      </c>
      <c r="M49" s="8">
        <v>3459820</v>
      </c>
    </row>
    <row r="50" spans="1:13" x14ac:dyDescent="0.2">
      <c r="A50" s="49" t="s">
        <v>80</v>
      </c>
      <c r="B50" s="49"/>
      <c r="C50" s="8">
        <v>78592106</v>
      </c>
      <c r="D50" s="47">
        <v>10.31</v>
      </c>
      <c r="E50" s="47">
        <v>0.23</v>
      </c>
      <c r="F50" s="8">
        <v>1261283302</v>
      </c>
      <c r="G50" s="48">
        <f t="shared" si="0"/>
        <v>1270180850</v>
      </c>
      <c r="H50" s="48">
        <f t="shared" si="2"/>
        <v>8897548</v>
      </c>
      <c r="I50" s="8">
        <v>5888936</v>
      </c>
      <c r="J50" s="8">
        <v>1109954191</v>
      </c>
      <c r="K50" s="8">
        <f>11011360+31882703+2929120+26577679</f>
        <v>72400862</v>
      </c>
      <c r="L50" s="8">
        <v>0</v>
      </c>
      <c r="M50" s="8">
        <v>87825797</v>
      </c>
    </row>
    <row r="51" spans="1:13" x14ac:dyDescent="0.2">
      <c r="A51" s="49" t="s">
        <v>81</v>
      </c>
      <c r="B51" s="49"/>
      <c r="C51" s="8">
        <v>19923693</v>
      </c>
      <c r="D51" s="47">
        <v>12.45</v>
      </c>
      <c r="E51" s="47">
        <v>0.09</v>
      </c>
      <c r="F51" s="8">
        <v>350988871</v>
      </c>
      <c r="G51" s="8">
        <f t="shared" si="0"/>
        <v>353570107</v>
      </c>
      <c r="H51" s="48">
        <f t="shared" si="2"/>
        <v>2581236</v>
      </c>
      <c r="I51" s="8">
        <v>433940</v>
      </c>
      <c r="J51" s="8">
        <v>326118493</v>
      </c>
      <c r="K51" s="8">
        <f>1000234+3879355+67095</f>
        <v>4946684</v>
      </c>
      <c r="L51" s="8">
        <v>0</v>
      </c>
      <c r="M51" s="8">
        <v>22504930</v>
      </c>
    </row>
    <row r="52" spans="1:13" x14ac:dyDescent="0.2">
      <c r="A52" s="49" t="s">
        <v>82</v>
      </c>
      <c r="B52" s="5"/>
      <c r="C52" s="8">
        <v>37194198</v>
      </c>
      <c r="D52" s="47">
        <v>7.88</v>
      </c>
      <c r="E52" s="47">
        <v>0.21</v>
      </c>
      <c r="F52" s="8">
        <v>650186464</v>
      </c>
      <c r="G52" s="48">
        <f>+J52+K52+L52+M52</f>
        <v>666046009</v>
      </c>
      <c r="H52" s="48">
        <f>G52-F52</f>
        <v>15859545</v>
      </c>
      <c r="I52" s="8">
        <v>16221351</v>
      </c>
      <c r="J52" s="8">
        <v>591761122</v>
      </c>
      <c r="K52" s="8">
        <f>191139+4120997+19201135</f>
        <v>23513271</v>
      </c>
      <c r="L52" s="8">
        <v>464013</v>
      </c>
      <c r="M52" s="8">
        <v>50307603</v>
      </c>
    </row>
    <row r="53" spans="1:13" x14ac:dyDescent="0.2">
      <c r="A53" s="49" t="s">
        <v>83</v>
      </c>
      <c r="B53" s="5"/>
      <c r="C53" s="8">
        <v>68110045</v>
      </c>
      <c r="D53" s="47">
        <v>14.86</v>
      </c>
      <c r="E53" s="47">
        <v>0.27</v>
      </c>
      <c r="F53" s="8">
        <v>1206084529</v>
      </c>
      <c r="G53" s="48">
        <f t="shared" si="0"/>
        <v>1213146260</v>
      </c>
      <c r="H53" s="48">
        <f t="shared" si="2"/>
        <v>7061731</v>
      </c>
      <c r="I53" s="8">
        <v>7111821</v>
      </c>
      <c r="J53" s="8">
        <v>1119411899</v>
      </c>
      <c r="K53" s="8">
        <f>931054+11592899+2634787+3735451</f>
        <v>18894191</v>
      </c>
      <c r="L53" s="8">
        <v>0</v>
      </c>
      <c r="M53" s="8">
        <v>74840170</v>
      </c>
    </row>
    <row r="54" spans="1:13" x14ac:dyDescent="0.2">
      <c r="A54" s="49" t="s">
        <v>84</v>
      </c>
      <c r="B54" s="49"/>
      <c r="C54" s="8">
        <v>15287366</v>
      </c>
      <c r="D54" s="47">
        <v>7.08</v>
      </c>
      <c r="E54" s="47">
        <v>0.23</v>
      </c>
      <c r="F54" s="8">
        <v>266954228</v>
      </c>
      <c r="G54" s="8">
        <f>+J54+K54+L54+M54</f>
        <v>268777374</v>
      </c>
      <c r="H54" s="48">
        <f>G54-F54</f>
        <v>1823146</v>
      </c>
      <c r="I54" s="8">
        <v>20273012</v>
      </c>
      <c r="J54" s="8">
        <v>249331110</v>
      </c>
      <c r="K54" s="8">
        <f>1922289+167596+277547</f>
        <v>2367432</v>
      </c>
      <c r="L54" s="8">
        <v>1562</v>
      </c>
      <c r="M54" s="8">
        <v>17077270</v>
      </c>
    </row>
    <row r="55" spans="1:13" x14ac:dyDescent="0.2">
      <c r="A55" s="49" t="s">
        <v>85</v>
      </c>
      <c r="B55" s="49"/>
      <c r="C55" s="8">
        <v>10879599</v>
      </c>
      <c r="D55" s="47">
        <v>0.74</v>
      </c>
      <c r="E55" s="47">
        <v>0.17</v>
      </c>
      <c r="F55" s="8">
        <v>47601986</v>
      </c>
      <c r="G55" s="48">
        <f>+J55+K55+L55+M55</f>
        <v>64844308</v>
      </c>
      <c r="H55" s="48">
        <f>G55-F55</f>
        <v>17242322</v>
      </c>
      <c r="I55" s="8">
        <v>28553121</v>
      </c>
      <c r="J55" s="8">
        <v>0</v>
      </c>
      <c r="K55" s="8">
        <f>8990415+25860482+2400023</f>
        <v>37250920</v>
      </c>
      <c r="L55" s="8">
        <v>49205</v>
      </c>
      <c r="M55" s="8">
        <v>27544183</v>
      </c>
    </row>
    <row r="56" spans="1:13" x14ac:dyDescent="0.2">
      <c r="A56" s="49" t="s">
        <v>86</v>
      </c>
      <c r="B56" s="49"/>
      <c r="C56" s="8">
        <v>7278607</v>
      </c>
      <c r="D56" s="47">
        <v>5.69</v>
      </c>
      <c r="E56" s="47">
        <v>0.59</v>
      </c>
      <c r="F56" s="8">
        <v>74808022</v>
      </c>
      <c r="G56" s="8">
        <f t="shared" si="0"/>
        <v>75682832</v>
      </c>
      <c r="H56" s="48">
        <f t="shared" si="2"/>
        <v>874810</v>
      </c>
      <c r="I56" s="8">
        <v>774020</v>
      </c>
      <c r="J56" s="8">
        <v>36086438</v>
      </c>
      <c r="K56" s="8">
        <f>2297151+5352985+15955813+7531355</f>
        <v>31137304</v>
      </c>
      <c r="L56" s="8">
        <v>356227</v>
      </c>
      <c r="M56" s="8">
        <v>8102863</v>
      </c>
    </row>
    <row r="57" spans="1:13" x14ac:dyDescent="0.2">
      <c r="A57" s="49" t="s">
        <v>87</v>
      </c>
      <c r="B57" s="5"/>
      <c r="C57" s="8">
        <v>28628770</v>
      </c>
      <c r="D57" s="47">
        <v>7.54</v>
      </c>
      <c r="E57" s="47">
        <v>0.09</v>
      </c>
      <c r="F57" s="8">
        <v>509294997</v>
      </c>
      <c r="G57" s="8">
        <f t="shared" si="0"/>
        <v>541850661</v>
      </c>
      <c r="H57" s="48">
        <f>G57-F57</f>
        <v>32555664</v>
      </c>
      <c r="I57" s="8">
        <v>233786</v>
      </c>
      <c r="J57" s="8">
        <v>446950344</v>
      </c>
      <c r="K57" s="8">
        <f>33715883+0</f>
        <v>33715883</v>
      </c>
      <c r="L57" s="8">
        <v>0</v>
      </c>
      <c r="M57" s="8">
        <v>61184434</v>
      </c>
    </row>
    <row r="58" spans="1:13" x14ac:dyDescent="0.2">
      <c r="A58" s="49" t="s">
        <v>88</v>
      </c>
      <c r="B58" s="49"/>
      <c r="C58" s="8">
        <v>52452105</v>
      </c>
      <c r="D58" s="47">
        <v>8.43</v>
      </c>
      <c r="E58" s="47">
        <v>0.2</v>
      </c>
      <c r="F58" s="8">
        <v>908280235</v>
      </c>
      <c r="G58" s="48">
        <f>+J58+K58+L58+M58</f>
        <v>934126002</v>
      </c>
      <c r="H58" s="48">
        <f t="shared" si="1"/>
        <v>25845767</v>
      </c>
      <c r="I58" s="8">
        <v>15587984</v>
      </c>
      <c r="J58" s="8">
        <v>826324699</v>
      </c>
      <c r="K58" s="8">
        <f>740606+10562344+9765150+9070003</f>
        <v>30138103</v>
      </c>
      <c r="L58" s="8">
        <v>0</v>
      </c>
      <c r="M58" s="8">
        <v>77663200</v>
      </c>
    </row>
    <row r="59" spans="1:13" x14ac:dyDescent="0.2">
      <c r="A59" s="13" t="s">
        <v>89</v>
      </c>
      <c r="B59" s="13"/>
      <c r="C59" s="51">
        <f>SUM(C32:C58)</f>
        <v>781597526</v>
      </c>
      <c r="D59" s="52"/>
      <c r="E59" s="52"/>
      <c r="F59" s="51">
        <f t="shared" ref="F59:M59" si="3">SUM(F32:F58)</f>
        <v>12308196008</v>
      </c>
      <c r="G59" s="51">
        <f t="shared" si="3"/>
        <v>12870441493</v>
      </c>
      <c r="H59" s="51">
        <f t="shared" si="3"/>
        <v>562245485</v>
      </c>
      <c r="I59" s="51">
        <f t="shared" si="3"/>
        <v>232855693</v>
      </c>
      <c r="J59" s="51">
        <f t="shared" si="3"/>
        <v>10557724818</v>
      </c>
      <c r="K59" s="51">
        <f t="shared" si="3"/>
        <v>939428302</v>
      </c>
      <c r="L59" s="51">
        <f t="shared" si="3"/>
        <v>5761789</v>
      </c>
      <c r="M59" s="51">
        <f t="shared" si="3"/>
        <v>1367526584</v>
      </c>
    </row>
    <row r="60" spans="1:13" x14ac:dyDescent="0.2">
      <c r="A60" s="53"/>
      <c r="B60" s="53"/>
      <c r="C60" s="8"/>
      <c r="D60" s="47"/>
      <c r="E60" s="47"/>
      <c r="F60" s="8"/>
      <c r="G60" s="8"/>
      <c r="H60" s="8"/>
      <c r="I60" s="8"/>
      <c r="J60" s="8"/>
      <c r="K60" s="8"/>
      <c r="L60" s="8"/>
      <c r="M60" s="54"/>
    </row>
    <row r="61" spans="1:13" x14ac:dyDescent="0.2">
      <c r="A61" s="49" t="s">
        <v>90</v>
      </c>
      <c r="B61" s="49"/>
      <c r="C61" s="8">
        <v>2204756</v>
      </c>
      <c r="D61" s="47">
        <v>1.56</v>
      </c>
      <c r="E61" s="47">
        <v>0.04</v>
      </c>
      <c r="F61" s="8">
        <v>33317417</v>
      </c>
      <c r="G61" s="48">
        <f>+J61+K61+L61+M61</f>
        <v>41363957</v>
      </c>
      <c r="H61" s="48">
        <f>G61-F61</f>
        <v>8046540</v>
      </c>
      <c r="I61" s="8">
        <v>10715940</v>
      </c>
      <c r="J61" s="8">
        <v>31044322</v>
      </c>
      <c r="K61" s="8">
        <f>55862+12477</f>
        <v>68339</v>
      </c>
      <c r="L61" s="8">
        <v>0</v>
      </c>
      <c r="M61" s="8">
        <v>10251296</v>
      </c>
    </row>
    <row r="62" spans="1:13" x14ac:dyDescent="0.2">
      <c r="A62" s="55" t="s">
        <v>91</v>
      </c>
      <c r="B62" s="55"/>
      <c r="C62" s="51">
        <f>SUM(C61)</f>
        <v>2204756</v>
      </c>
      <c r="D62" s="52"/>
      <c r="E62" s="52"/>
      <c r="F62" s="51">
        <f t="shared" ref="F62:M62" si="4">SUM(F61)</f>
        <v>33317417</v>
      </c>
      <c r="G62" s="51">
        <f t="shared" si="4"/>
        <v>41363957</v>
      </c>
      <c r="H62" s="51">
        <f t="shared" si="4"/>
        <v>8046540</v>
      </c>
      <c r="I62" s="51">
        <f t="shared" si="4"/>
        <v>10715940</v>
      </c>
      <c r="J62" s="51">
        <f t="shared" si="4"/>
        <v>31044322</v>
      </c>
      <c r="K62" s="51">
        <f t="shared" si="4"/>
        <v>68339</v>
      </c>
      <c r="L62" s="51">
        <f t="shared" si="4"/>
        <v>0</v>
      </c>
      <c r="M62" s="51">
        <f t="shared" si="4"/>
        <v>10251296</v>
      </c>
    </row>
    <row r="63" spans="1:13" x14ac:dyDescent="0.2">
      <c r="A63" s="8"/>
      <c r="B63" s="8"/>
      <c r="C63" s="8"/>
      <c r="D63" s="47"/>
      <c r="E63" s="47"/>
      <c r="F63" s="8"/>
      <c r="G63" s="8"/>
      <c r="H63" s="8"/>
      <c r="I63" s="48"/>
      <c r="J63" s="48"/>
      <c r="K63" s="48"/>
      <c r="L63" s="8"/>
      <c r="M63" s="54"/>
    </row>
    <row r="64" spans="1:13" x14ac:dyDescent="0.2">
      <c r="A64" s="56" t="s">
        <v>7</v>
      </c>
      <c r="B64" s="56"/>
      <c r="C64" s="38">
        <f>C59+C62</f>
        <v>783802282</v>
      </c>
      <c r="D64" s="57"/>
      <c r="E64" s="57"/>
      <c r="F64" s="38">
        <f t="shared" ref="F64:M64" si="5">F59+F62</f>
        <v>12341513425</v>
      </c>
      <c r="G64" s="38">
        <f t="shared" si="5"/>
        <v>12911805450</v>
      </c>
      <c r="H64" s="38">
        <f t="shared" si="5"/>
        <v>570292025</v>
      </c>
      <c r="I64" s="38">
        <f t="shared" si="5"/>
        <v>243571633</v>
      </c>
      <c r="J64" s="58">
        <f t="shared" si="5"/>
        <v>10588769140</v>
      </c>
      <c r="K64" s="58">
        <f t="shared" si="5"/>
        <v>939496641</v>
      </c>
      <c r="L64" s="38">
        <f t="shared" si="5"/>
        <v>5761789</v>
      </c>
      <c r="M64" s="38">
        <f t="shared" si="5"/>
        <v>1377777880</v>
      </c>
    </row>
    <row r="65" spans="1:13" x14ac:dyDescent="0.2">
      <c r="A65" s="59"/>
      <c r="B65" s="8"/>
      <c r="C65" s="8"/>
      <c r="D65" s="8"/>
      <c r="E65" s="8"/>
      <c r="F65" s="8"/>
      <c r="G65" s="8"/>
      <c r="H65" s="8"/>
      <c r="I65" s="8"/>
      <c r="J65" s="8"/>
      <c r="K65" s="8"/>
      <c r="L65" s="8"/>
      <c r="M65" s="8"/>
    </row>
    <row r="66" spans="1:13" x14ac:dyDescent="0.2">
      <c r="A66" s="59"/>
      <c r="B66" s="82"/>
      <c r="C66" s="82"/>
      <c r="D66" s="82"/>
      <c r="E66" s="82"/>
      <c r="F66" s="82"/>
      <c r="G66" s="82"/>
      <c r="H66" s="82"/>
      <c r="I66" s="82"/>
      <c r="J66" s="82"/>
      <c r="K66" s="82"/>
      <c r="L66" s="82"/>
      <c r="M66" s="60"/>
    </row>
  </sheetData>
  <mergeCells count="5">
    <mergeCell ref="A37:B37"/>
    <mergeCell ref="B66:L66"/>
    <mergeCell ref="D28:E28"/>
    <mergeCell ref="A32:B32"/>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workbookViewId="0"/>
  </sheetViews>
  <sheetFormatPr baseColWidth="10" defaultRowHeight="12.75" x14ac:dyDescent="0.2"/>
  <cols>
    <col min="1" max="1" width="2.7109375" style="2" customWidth="1"/>
    <col min="2" max="2" width="21.5703125" style="2" customWidth="1"/>
    <col min="3"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12" width="11.42578125" style="2"/>
    <col min="13" max="13" width="12.28515625" style="2" bestFit="1" customWidth="1"/>
    <col min="14" max="256" width="11.42578125" style="2"/>
    <col min="257" max="257" width="2.7109375" style="2" customWidth="1"/>
    <col min="258" max="258" width="21.5703125" style="2" customWidth="1"/>
    <col min="259"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2.7109375" style="2" customWidth="1"/>
    <col min="514" max="514" width="21.5703125" style="2" customWidth="1"/>
    <col min="515"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2.7109375" style="2" customWidth="1"/>
    <col min="770" max="770" width="21.5703125" style="2" customWidth="1"/>
    <col min="771"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2.7109375" style="2" customWidth="1"/>
    <col min="1026" max="1026" width="21.5703125" style="2" customWidth="1"/>
    <col min="1027"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2.7109375" style="2" customWidth="1"/>
    <col min="1282" max="1282" width="21.5703125" style="2" customWidth="1"/>
    <col min="1283"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2.7109375" style="2" customWidth="1"/>
    <col min="1538" max="1538" width="21.5703125" style="2" customWidth="1"/>
    <col min="1539"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2.7109375" style="2" customWidth="1"/>
    <col min="1794" max="1794" width="21.5703125" style="2" customWidth="1"/>
    <col min="1795"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2.7109375" style="2" customWidth="1"/>
    <col min="2050" max="2050" width="21.5703125" style="2" customWidth="1"/>
    <col min="2051"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2.7109375" style="2" customWidth="1"/>
    <col min="2306" max="2306" width="21.5703125" style="2" customWidth="1"/>
    <col min="2307"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2.7109375" style="2" customWidth="1"/>
    <col min="2562" max="2562" width="21.5703125" style="2" customWidth="1"/>
    <col min="2563"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2.7109375" style="2" customWidth="1"/>
    <col min="2818" max="2818" width="21.5703125" style="2" customWidth="1"/>
    <col min="2819"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2.7109375" style="2" customWidth="1"/>
    <col min="3074" max="3074" width="21.5703125" style="2" customWidth="1"/>
    <col min="3075"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2.7109375" style="2" customWidth="1"/>
    <col min="3330" max="3330" width="21.5703125" style="2" customWidth="1"/>
    <col min="3331"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2.7109375" style="2" customWidth="1"/>
    <col min="3586" max="3586" width="21.5703125" style="2" customWidth="1"/>
    <col min="3587"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2.7109375" style="2" customWidth="1"/>
    <col min="3842" max="3842" width="21.5703125" style="2" customWidth="1"/>
    <col min="3843"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2.7109375" style="2" customWidth="1"/>
    <col min="4098" max="4098" width="21.5703125" style="2" customWidth="1"/>
    <col min="4099"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2.7109375" style="2" customWidth="1"/>
    <col min="4354" max="4354" width="21.5703125" style="2" customWidth="1"/>
    <col min="4355"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2.7109375" style="2" customWidth="1"/>
    <col min="4610" max="4610" width="21.5703125" style="2" customWidth="1"/>
    <col min="4611"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2.7109375" style="2" customWidth="1"/>
    <col min="4866" max="4866" width="21.5703125" style="2" customWidth="1"/>
    <col min="4867"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2.7109375" style="2" customWidth="1"/>
    <col min="5122" max="5122" width="21.5703125" style="2" customWidth="1"/>
    <col min="5123"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2.7109375" style="2" customWidth="1"/>
    <col min="5378" max="5378" width="21.5703125" style="2" customWidth="1"/>
    <col min="5379"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2.7109375" style="2" customWidth="1"/>
    <col min="5634" max="5634" width="21.5703125" style="2" customWidth="1"/>
    <col min="5635"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2.7109375" style="2" customWidth="1"/>
    <col min="5890" max="5890" width="21.5703125" style="2" customWidth="1"/>
    <col min="5891"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2.7109375" style="2" customWidth="1"/>
    <col min="6146" max="6146" width="21.5703125" style="2" customWidth="1"/>
    <col min="6147"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2.7109375" style="2" customWidth="1"/>
    <col min="6402" max="6402" width="21.5703125" style="2" customWidth="1"/>
    <col min="6403"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2.7109375" style="2" customWidth="1"/>
    <col min="6658" max="6658" width="21.5703125" style="2" customWidth="1"/>
    <col min="6659"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2.7109375" style="2" customWidth="1"/>
    <col min="6914" max="6914" width="21.5703125" style="2" customWidth="1"/>
    <col min="6915"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2.7109375" style="2" customWidth="1"/>
    <col min="7170" max="7170" width="21.5703125" style="2" customWidth="1"/>
    <col min="7171"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2.7109375" style="2" customWidth="1"/>
    <col min="7426" max="7426" width="21.5703125" style="2" customWidth="1"/>
    <col min="7427"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2.7109375" style="2" customWidth="1"/>
    <col min="7682" max="7682" width="21.5703125" style="2" customWidth="1"/>
    <col min="7683"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2.7109375" style="2" customWidth="1"/>
    <col min="7938" max="7938" width="21.5703125" style="2" customWidth="1"/>
    <col min="7939"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2.7109375" style="2" customWidth="1"/>
    <col min="8194" max="8194" width="21.5703125" style="2" customWidth="1"/>
    <col min="8195"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2.7109375" style="2" customWidth="1"/>
    <col min="8450" max="8450" width="21.5703125" style="2" customWidth="1"/>
    <col min="8451"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2.7109375" style="2" customWidth="1"/>
    <col min="8706" max="8706" width="21.5703125" style="2" customWidth="1"/>
    <col min="8707"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2.7109375" style="2" customWidth="1"/>
    <col min="8962" max="8962" width="21.5703125" style="2" customWidth="1"/>
    <col min="8963"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2.7109375" style="2" customWidth="1"/>
    <col min="9218" max="9218" width="21.5703125" style="2" customWidth="1"/>
    <col min="9219"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2.7109375" style="2" customWidth="1"/>
    <col min="9474" max="9474" width="21.5703125" style="2" customWidth="1"/>
    <col min="9475"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2.7109375" style="2" customWidth="1"/>
    <col min="9730" max="9730" width="21.5703125" style="2" customWidth="1"/>
    <col min="9731"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2.7109375" style="2" customWidth="1"/>
    <col min="9986" max="9986" width="21.5703125" style="2" customWidth="1"/>
    <col min="9987"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2.7109375" style="2" customWidth="1"/>
    <col min="10242" max="10242" width="21.5703125" style="2" customWidth="1"/>
    <col min="10243"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2.7109375" style="2" customWidth="1"/>
    <col min="10498" max="10498" width="21.5703125" style="2" customWidth="1"/>
    <col min="10499"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2.7109375" style="2" customWidth="1"/>
    <col min="10754" max="10754" width="21.5703125" style="2" customWidth="1"/>
    <col min="10755"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2.7109375" style="2" customWidth="1"/>
    <col min="11010" max="11010" width="21.5703125" style="2" customWidth="1"/>
    <col min="11011"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2.7109375" style="2" customWidth="1"/>
    <col min="11266" max="11266" width="21.5703125" style="2" customWidth="1"/>
    <col min="11267"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2.7109375" style="2" customWidth="1"/>
    <col min="11522" max="11522" width="21.5703125" style="2" customWidth="1"/>
    <col min="11523"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2.7109375" style="2" customWidth="1"/>
    <col min="11778" max="11778" width="21.5703125" style="2" customWidth="1"/>
    <col min="11779"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2.7109375" style="2" customWidth="1"/>
    <col min="12034" max="12034" width="21.5703125" style="2" customWidth="1"/>
    <col min="12035"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2.7109375" style="2" customWidth="1"/>
    <col min="12290" max="12290" width="21.5703125" style="2" customWidth="1"/>
    <col min="12291"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2.7109375" style="2" customWidth="1"/>
    <col min="12546" max="12546" width="21.5703125" style="2" customWidth="1"/>
    <col min="12547"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2.7109375" style="2" customWidth="1"/>
    <col min="12802" max="12802" width="21.5703125" style="2" customWidth="1"/>
    <col min="12803"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2.7109375" style="2" customWidth="1"/>
    <col min="13058" max="13058" width="21.5703125" style="2" customWidth="1"/>
    <col min="13059"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2.7109375" style="2" customWidth="1"/>
    <col min="13314" max="13314" width="21.5703125" style="2" customWidth="1"/>
    <col min="13315"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2.7109375" style="2" customWidth="1"/>
    <col min="13570" max="13570" width="21.5703125" style="2" customWidth="1"/>
    <col min="13571"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2.7109375" style="2" customWidth="1"/>
    <col min="13826" max="13826" width="21.5703125" style="2" customWidth="1"/>
    <col min="13827"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2.7109375" style="2" customWidth="1"/>
    <col min="14082" max="14082" width="21.5703125" style="2" customWidth="1"/>
    <col min="14083"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2.7109375" style="2" customWidth="1"/>
    <col min="14338" max="14338" width="21.5703125" style="2" customWidth="1"/>
    <col min="14339"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2.7109375" style="2" customWidth="1"/>
    <col min="14594" max="14594" width="21.5703125" style="2" customWidth="1"/>
    <col min="14595"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2.7109375" style="2" customWidth="1"/>
    <col min="14850" max="14850" width="21.5703125" style="2" customWidth="1"/>
    <col min="14851"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2.7109375" style="2" customWidth="1"/>
    <col min="15106" max="15106" width="21.5703125" style="2" customWidth="1"/>
    <col min="15107"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2.7109375" style="2" customWidth="1"/>
    <col min="15362" max="15362" width="21.5703125" style="2" customWidth="1"/>
    <col min="15363"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2.7109375" style="2" customWidth="1"/>
    <col min="15618" max="15618" width="21.5703125" style="2" customWidth="1"/>
    <col min="15619"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2.7109375" style="2" customWidth="1"/>
    <col min="15874" max="15874" width="21.5703125" style="2" customWidth="1"/>
    <col min="15875"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2.7109375" style="2" customWidth="1"/>
    <col min="16130" max="16130" width="21.5703125" style="2" customWidth="1"/>
    <col min="16131"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2" x14ac:dyDescent="0.2">
      <c r="A1" s="77" t="s">
        <v>46</v>
      </c>
    </row>
    <row r="2" spans="1:12" x14ac:dyDescent="0.2">
      <c r="A2" s="3" t="s">
        <v>0</v>
      </c>
      <c r="B2" s="4"/>
    </row>
    <row r="3" spans="1:12" x14ac:dyDescent="0.2">
      <c r="A3" s="5" t="s">
        <v>92</v>
      </c>
      <c r="B3" s="6"/>
      <c r="C3" s="7"/>
      <c r="D3" s="7"/>
      <c r="E3" s="8"/>
    </row>
    <row r="5" spans="1:12" x14ac:dyDescent="0.2">
      <c r="A5" s="9" t="s">
        <v>1</v>
      </c>
      <c r="B5" s="10"/>
      <c r="C5" s="9"/>
      <c r="D5" s="10"/>
    </row>
    <row r="6" spans="1:12" x14ac:dyDescent="0.2">
      <c r="A6" s="11" t="s">
        <v>2</v>
      </c>
      <c r="B6" s="12"/>
      <c r="C6" s="12"/>
      <c r="D6" s="85" t="s">
        <v>3</v>
      </c>
      <c r="E6" s="83"/>
      <c r="F6" s="15" t="s">
        <v>4</v>
      </c>
      <c r="G6" s="15" t="s">
        <v>5</v>
      </c>
      <c r="H6" s="16" t="s">
        <v>6</v>
      </c>
      <c r="I6" s="15" t="s">
        <v>4</v>
      </c>
      <c r="J6" s="15" t="s">
        <v>5</v>
      </c>
      <c r="K6" s="16" t="s">
        <v>6</v>
      </c>
      <c r="L6" s="17"/>
    </row>
    <row r="7" spans="1:12" x14ac:dyDescent="0.2">
      <c r="A7" s="10"/>
      <c r="B7" s="10"/>
      <c r="C7" s="10"/>
      <c r="D7" s="24" t="s">
        <v>7</v>
      </c>
      <c r="E7" s="24" t="s">
        <v>8</v>
      </c>
      <c r="F7" s="19" t="s">
        <v>9</v>
      </c>
      <c r="G7" s="19" t="s">
        <v>10</v>
      </c>
      <c r="H7" s="19" t="s">
        <v>11</v>
      </c>
      <c r="I7" s="19" t="s">
        <v>12</v>
      </c>
      <c r="J7" s="19" t="s">
        <v>10</v>
      </c>
      <c r="K7" s="19" t="s">
        <v>11</v>
      </c>
    </row>
    <row r="8" spans="1:12" x14ac:dyDescent="0.2">
      <c r="A8" s="20"/>
      <c r="B8" s="20"/>
      <c r="C8" s="20"/>
      <c r="D8" s="20"/>
      <c r="E8" s="20"/>
      <c r="F8" s="21" t="s">
        <v>13</v>
      </c>
      <c r="G8" s="21" t="s">
        <v>14</v>
      </c>
      <c r="H8" s="21" t="s">
        <v>15</v>
      </c>
      <c r="I8" s="21" t="s">
        <v>16</v>
      </c>
      <c r="J8" s="22" t="s">
        <v>17</v>
      </c>
      <c r="K8" s="22" t="s">
        <v>17</v>
      </c>
    </row>
    <row r="9" spans="1:12" x14ac:dyDescent="0.2">
      <c r="A9" s="10"/>
      <c r="B9" s="10"/>
      <c r="C9" s="10"/>
      <c r="D9" s="23"/>
      <c r="E9" s="23"/>
      <c r="F9" s="24"/>
      <c r="G9" s="24"/>
      <c r="H9" s="24"/>
      <c r="I9" s="24"/>
      <c r="J9" s="25"/>
      <c r="K9" s="25"/>
    </row>
    <row r="10" spans="1:12" x14ac:dyDescent="0.2">
      <c r="A10" s="61">
        <v>1</v>
      </c>
      <c r="B10" s="9" t="s">
        <v>18</v>
      </c>
      <c r="C10" s="10"/>
      <c r="D10" s="26">
        <v>1.1200000000000001</v>
      </c>
      <c r="E10" s="27">
        <v>1E-3</v>
      </c>
      <c r="F10" s="28">
        <v>66321269</v>
      </c>
      <c r="G10" s="28">
        <f>1358775+63388767+1573727</f>
        <v>66321269</v>
      </c>
      <c r="H10" s="28">
        <f>G10-F10</f>
        <v>0</v>
      </c>
      <c r="I10" s="28">
        <v>59421826</v>
      </c>
      <c r="J10" s="28">
        <v>59475002</v>
      </c>
      <c r="K10" s="28">
        <f>J10-I10</f>
        <v>53176</v>
      </c>
    </row>
    <row r="11" spans="1:12" x14ac:dyDescent="0.2">
      <c r="A11" s="61">
        <v>2</v>
      </c>
      <c r="B11" s="9" t="s">
        <v>19</v>
      </c>
      <c r="C11" s="10"/>
      <c r="D11" s="26">
        <v>0.44</v>
      </c>
      <c r="E11" s="26">
        <v>1.4999999999999999E-2</v>
      </c>
      <c r="F11" s="28">
        <v>18584146</v>
      </c>
      <c r="G11" s="28">
        <f>6635481+11361648+587017</f>
        <v>18584146</v>
      </c>
      <c r="H11" s="28">
        <f>G11-F11</f>
        <v>0</v>
      </c>
      <c r="I11" s="28">
        <v>43627908</v>
      </c>
      <c r="J11" s="28">
        <v>44257815</v>
      </c>
      <c r="K11" s="28">
        <f>J11-I11</f>
        <v>629907</v>
      </c>
    </row>
    <row r="12" spans="1:12" x14ac:dyDescent="0.2">
      <c r="A12" s="10"/>
      <c r="B12" s="10"/>
      <c r="C12" s="10"/>
      <c r="D12" s="23"/>
      <c r="E12" s="23"/>
      <c r="F12" s="28"/>
      <c r="G12" s="28"/>
      <c r="H12" s="28"/>
      <c r="I12" s="28"/>
      <c r="J12" s="28"/>
      <c r="K12" s="28"/>
    </row>
    <row r="13" spans="1:12" s="10" customFormat="1" x14ac:dyDescent="0.2">
      <c r="A13" s="2"/>
      <c r="B13" s="2"/>
      <c r="C13" s="2"/>
      <c r="D13" s="29"/>
      <c r="E13" s="29"/>
      <c r="F13" s="30"/>
      <c r="G13" s="30"/>
      <c r="H13" s="30"/>
      <c r="I13" s="30"/>
      <c r="J13" s="30"/>
      <c r="K13" s="30"/>
      <c r="L13" s="2"/>
    </row>
    <row r="14" spans="1:12" s="10" customFormat="1" x14ac:dyDescent="0.2">
      <c r="A14" s="9" t="s">
        <v>20</v>
      </c>
      <c r="C14" s="9"/>
      <c r="D14" s="9"/>
      <c r="F14" s="9"/>
      <c r="G14" s="30"/>
      <c r="H14" s="30"/>
      <c r="I14" s="30"/>
      <c r="J14" s="30"/>
      <c r="K14" s="30"/>
      <c r="L14" s="2"/>
    </row>
    <row r="15" spans="1:12" s="10" customFormat="1" x14ac:dyDescent="0.2">
      <c r="A15" s="11" t="s">
        <v>2</v>
      </c>
      <c r="B15" s="12"/>
      <c r="C15" s="12"/>
      <c r="D15" s="85" t="s">
        <v>3</v>
      </c>
      <c r="E15" s="83"/>
      <c r="F15" s="32" t="s">
        <v>21</v>
      </c>
      <c r="G15" s="32" t="s">
        <v>21</v>
      </c>
      <c r="H15" s="33" t="s">
        <v>22</v>
      </c>
      <c r="I15" s="33" t="s">
        <v>23</v>
      </c>
      <c r="J15" s="28"/>
      <c r="K15" s="28"/>
      <c r="L15" s="2"/>
    </row>
    <row r="16" spans="1:12" s="10" customFormat="1" ht="10.5" x14ac:dyDescent="0.15">
      <c r="D16" s="24" t="s">
        <v>7</v>
      </c>
      <c r="E16" s="24" t="s">
        <v>8</v>
      </c>
      <c r="F16" s="25" t="s">
        <v>24</v>
      </c>
      <c r="G16" s="25" t="s">
        <v>24</v>
      </c>
      <c r="H16" s="24" t="s">
        <v>25</v>
      </c>
      <c r="I16" s="24" t="s">
        <v>11</v>
      </c>
      <c r="J16" s="28"/>
      <c r="K16" s="28"/>
    </row>
    <row r="17" spans="1:13" x14ac:dyDescent="0.2">
      <c r="A17" s="10"/>
      <c r="B17" s="10"/>
      <c r="C17" s="10"/>
      <c r="D17" s="23"/>
      <c r="E17" s="23"/>
      <c r="F17" s="25" t="s">
        <v>26</v>
      </c>
      <c r="G17" s="24" t="s">
        <v>27</v>
      </c>
      <c r="H17" s="25" t="s">
        <v>28</v>
      </c>
      <c r="I17" s="24" t="s">
        <v>29</v>
      </c>
      <c r="J17" s="28"/>
      <c r="K17" s="28"/>
      <c r="L17" s="10"/>
    </row>
    <row r="18" spans="1:13" s="10" customFormat="1" ht="10.5" x14ac:dyDescent="0.15">
      <c r="A18" s="20"/>
      <c r="B18" s="20"/>
      <c r="C18" s="20"/>
      <c r="D18" s="34"/>
      <c r="E18" s="34"/>
      <c r="F18" s="35" t="s">
        <v>30</v>
      </c>
      <c r="G18" s="35" t="s">
        <v>31</v>
      </c>
      <c r="H18" s="35" t="s">
        <v>32</v>
      </c>
      <c r="I18" s="35" t="s">
        <v>32</v>
      </c>
      <c r="J18" s="28"/>
      <c r="K18" s="28"/>
    </row>
    <row r="19" spans="1:13" x14ac:dyDescent="0.2">
      <c r="A19" s="10"/>
      <c r="B19" s="10"/>
      <c r="D19" s="29"/>
      <c r="E19" s="29"/>
      <c r="F19" s="30"/>
      <c r="G19" s="30"/>
      <c r="H19" s="30"/>
      <c r="I19" s="30"/>
      <c r="J19" s="30"/>
      <c r="K19" s="30"/>
      <c r="L19" s="10"/>
    </row>
    <row r="20" spans="1:13" x14ac:dyDescent="0.2">
      <c r="A20" s="61">
        <v>3</v>
      </c>
      <c r="B20" s="10" t="s">
        <v>33</v>
      </c>
      <c r="C20" s="10"/>
      <c r="D20" s="26">
        <v>0.17</v>
      </c>
      <c r="E20" s="26">
        <v>0.01</v>
      </c>
      <c r="F20" s="28">
        <v>57516926</v>
      </c>
      <c r="G20" s="28">
        <v>54150642</v>
      </c>
      <c r="H20" s="28">
        <v>111924698</v>
      </c>
      <c r="I20" s="28">
        <f>+H20-G20-F20</f>
        <v>257130</v>
      </c>
      <c r="J20" s="28"/>
      <c r="K20" s="28"/>
    </row>
    <row r="21" spans="1:13" x14ac:dyDescent="0.2">
      <c r="A21" s="10"/>
      <c r="D21" s="29"/>
      <c r="E21" s="29"/>
      <c r="F21" s="30"/>
      <c r="G21" s="30"/>
      <c r="H21" s="30"/>
      <c r="I21" s="30"/>
      <c r="J21" s="30"/>
      <c r="K21" s="30"/>
      <c r="L21" s="10"/>
    </row>
    <row r="22" spans="1:13" x14ac:dyDescent="0.2">
      <c r="D22" s="29"/>
      <c r="E22" s="29"/>
      <c r="F22" s="30"/>
      <c r="G22" s="30"/>
      <c r="H22" s="30"/>
      <c r="I22" s="30"/>
      <c r="J22" s="30"/>
      <c r="K22" s="30"/>
    </row>
    <row r="23" spans="1:13" x14ac:dyDescent="0.2">
      <c r="A23" s="36"/>
      <c r="B23" s="36"/>
      <c r="C23" s="36"/>
      <c r="D23" s="36"/>
      <c r="E23" s="36"/>
      <c r="F23" s="36"/>
      <c r="G23" s="36"/>
      <c r="H23" s="36"/>
      <c r="I23" s="36"/>
      <c r="J23" s="36"/>
      <c r="K23" s="36"/>
    </row>
    <row r="24" spans="1:13" x14ac:dyDescent="0.2">
      <c r="A24" s="8"/>
      <c r="B24" s="8"/>
      <c r="C24" s="8"/>
      <c r="D24" s="8"/>
      <c r="E24" s="8"/>
      <c r="F24" s="8"/>
      <c r="G24" s="8"/>
      <c r="H24" s="8"/>
      <c r="I24" s="8"/>
      <c r="J24" s="8"/>
      <c r="K24" s="8"/>
      <c r="L24" s="8"/>
      <c r="M24" s="8"/>
    </row>
    <row r="25" spans="1:13" x14ac:dyDescent="0.2">
      <c r="A25" s="3" t="s">
        <v>46</v>
      </c>
      <c r="B25" s="3"/>
      <c r="C25" s="7"/>
      <c r="D25" s="7"/>
      <c r="E25" s="37"/>
      <c r="F25" s="8"/>
      <c r="G25" s="8"/>
      <c r="H25" s="8"/>
      <c r="I25" s="8"/>
      <c r="J25" s="8"/>
      <c r="K25" s="8"/>
      <c r="L25" s="8"/>
      <c r="M25" s="8"/>
    </row>
    <row r="26" spans="1:13" x14ac:dyDescent="0.2">
      <c r="A26" s="6" t="s">
        <v>93</v>
      </c>
      <c r="B26" s="6"/>
      <c r="C26" s="7"/>
      <c r="D26" s="7"/>
      <c r="E26" s="8"/>
      <c r="F26" s="8"/>
      <c r="G26" s="8"/>
      <c r="H26" s="8"/>
      <c r="I26" s="8"/>
      <c r="J26" s="8"/>
      <c r="K26" s="8"/>
      <c r="L26" s="8"/>
      <c r="M26" s="8"/>
    </row>
    <row r="27" spans="1:13" x14ac:dyDescent="0.2">
      <c r="A27" s="5" t="s">
        <v>92</v>
      </c>
      <c r="B27" s="6"/>
      <c r="C27" s="7"/>
      <c r="D27" s="7"/>
      <c r="E27" s="8"/>
      <c r="F27" s="8"/>
      <c r="G27" s="8"/>
      <c r="H27" s="8"/>
      <c r="I27" s="8"/>
      <c r="J27" s="8"/>
      <c r="K27" s="8"/>
      <c r="L27" s="8"/>
      <c r="M27" s="38"/>
    </row>
    <row r="28" spans="1:13" x14ac:dyDescent="0.2">
      <c r="A28" s="11" t="s">
        <v>2</v>
      </c>
      <c r="B28" s="11"/>
      <c r="C28" s="33" t="s">
        <v>16</v>
      </c>
      <c r="D28" s="83" t="s">
        <v>3</v>
      </c>
      <c r="E28" s="83"/>
      <c r="F28" s="33" t="s">
        <v>48</v>
      </c>
      <c r="G28" s="32" t="s">
        <v>49</v>
      </c>
      <c r="H28" s="32" t="s">
        <v>50</v>
      </c>
      <c r="I28" s="33" t="s">
        <v>51</v>
      </c>
      <c r="J28" s="33" t="s">
        <v>5</v>
      </c>
      <c r="K28" s="33" t="s">
        <v>5</v>
      </c>
      <c r="L28" s="33" t="s">
        <v>5</v>
      </c>
      <c r="M28" s="33" t="s">
        <v>5</v>
      </c>
    </row>
    <row r="29" spans="1:13" x14ac:dyDescent="0.2">
      <c r="A29" s="8"/>
      <c r="B29" s="8"/>
      <c r="C29" s="25" t="s">
        <v>52</v>
      </c>
      <c r="D29" s="24" t="s">
        <v>7</v>
      </c>
      <c r="E29" s="24" t="s">
        <v>8</v>
      </c>
      <c r="F29" s="25" t="s">
        <v>53</v>
      </c>
      <c r="G29" s="25" t="s">
        <v>54</v>
      </c>
      <c r="H29" s="24" t="s">
        <v>55</v>
      </c>
      <c r="I29" s="24" t="s">
        <v>56</v>
      </c>
      <c r="J29" s="24" t="s">
        <v>57</v>
      </c>
      <c r="K29" s="24" t="s">
        <v>58</v>
      </c>
      <c r="L29" s="62" t="s">
        <v>59</v>
      </c>
      <c r="M29" s="63" t="s">
        <v>60</v>
      </c>
    </row>
    <row r="30" spans="1:13" x14ac:dyDescent="0.2">
      <c r="A30" s="38"/>
      <c r="B30" s="38"/>
      <c r="C30" s="38"/>
      <c r="D30" s="38"/>
      <c r="E30" s="38"/>
      <c r="F30" s="45" t="s">
        <v>61</v>
      </c>
      <c r="G30" s="45" t="s">
        <v>52</v>
      </c>
      <c r="H30" s="45" t="s">
        <v>61</v>
      </c>
      <c r="I30" s="35"/>
      <c r="J30" s="64"/>
      <c r="K30" s="64"/>
      <c r="L30" s="64"/>
      <c r="M30" s="64"/>
    </row>
    <row r="31" spans="1:13" x14ac:dyDescent="0.2">
      <c r="A31" s="8"/>
      <c r="B31" s="8"/>
      <c r="C31" s="8"/>
      <c r="D31" s="8"/>
      <c r="E31" s="8"/>
      <c r="F31" s="41"/>
      <c r="G31" s="25"/>
      <c r="H31" s="41"/>
      <c r="I31" s="18"/>
      <c r="J31" s="8"/>
      <c r="K31" s="8"/>
      <c r="L31" s="8"/>
      <c r="M31" s="8"/>
    </row>
    <row r="32" spans="1:13" x14ac:dyDescent="0.2">
      <c r="A32" s="3" t="s">
        <v>94</v>
      </c>
      <c r="B32" s="8"/>
      <c r="C32" s="8"/>
      <c r="D32" s="8"/>
      <c r="E32" s="8"/>
      <c r="F32" s="41"/>
      <c r="G32" s="25"/>
      <c r="H32" s="41"/>
      <c r="I32" s="18"/>
      <c r="J32" s="8"/>
      <c r="K32" s="8"/>
      <c r="L32" s="8"/>
      <c r="M32" s="8"/>
    </row>
    <row r="33" spans="1:13" x14ac:dyDescent="0.2">
      <c r="A33" s="48">
        <v>1</v>
      </c>
      <c r="B33" s="49" t="s">
        <v>62</v>
      </c>
      <c r="C33" s="8">
        <v>1676175</v>
      </c>
      <c r="D33" s="47">
        <v>0.25</v>
      </c>
      <c r="E33" s="47">
        <v>0.18</v>
      </c>
      <c r="F33" s="8">
        <v>1824197</v>
      </c>
      <c r="G33" s="8">
        <f t="shared" ref="G33:G57" si="0">+J33+K33+L33+M33</f>
        <v>1980295</v>
      </c>
      <c r="H33" s="48">
        <f t="shared" ref="H33:H58" si="1">G33-F33</f>
        <v>156098</v>
      </c>
      <c r="I33" s="8">
        <v>0</v>
      </c>
      <c r="J33" s="8">
        <v>0</v>
      </c>
      <c r="K33" s="8">
        <v>148022</v>
      </c>
      <c r="L33" s="8">
        <v>0</v>
      </c>
      <c r="M33" s="8">
        <v>1832273</v>
      </c>
    </row>
    <row r="34" spans="1:13" x14ac:dyDescent="0.2">
      <c r="A34" s="48">
        <v>2</v>
      </c>
      <c r="B34" s="49" t="s">
        <v>63</v>
      </c>
      <c r="C34" s="8">
        <v>1676175</v>
      </c>
      <c r="D34" s="47">
        <v>0.36</v>
      </c>
      <c r="E34" s="47">
        <v>0.34</v>
      </c>
      <c r="F34" s="8">
        <v>1716084</v>
      </c>
      <c r="G34" s="8">
        <f t="shared" si="0"/>
        <v>2182061</v>
      </c>
      <c r="H34" s="48">
        <f>G34-F34</f>
        <v>465977</v>
      </c>
      <c r="I34" s="8">
        <v>11049</v>
      </c>
      <c r="J34" s="8">
        <v>0</v>
      </c>
      <c r="K34" s="8">
        <v>39909</v>
      </c>
      <c r="L34" s="8">
        <v>0</v>
      </c>
      <c r="M34" s="8">
        <v>2142152</v>
      </c>
    </row>
    <row r="35" spans="1:13" x14ac:dyDescent="0.2">
      <c r="A35" s="48">
        <v>3</v>
      </c>
      <c r="B35" s="49" t="s">
        <v>64</v>
      </c>
      <c r="C35" s="8">
        <v>4840348</v>
      </c>
      <c r="D35" s="47">
        <v>2.09</v>
      </c>
      <c r="E35" s="47">
        <v>0.47</v>
      </c>
      <c r="F35" s="8">
        <v>21957566</v>
      </c>
      <c r="G35" s="48">
        <f t="shared" si="0"/>
        <v>27258964</v>
      </c>
      <c r="H35" s="48">
        <f t="shared" si="1"/>
        <v>5301398</v>
      </c>
      <c r="I35" s="8">
        <v>1711844</v>
      </c>
      <c r="J35" s="8">
        <v>0</v>
      </c>
      <c r="K35" s="8">
        <f>2187394+14474705+9977+547565</f>
        <v>17219641</v>
      </c>
      <c r="L35" s="8">
        <v>0</v>
      </c>
      <c r="M35" s="8">
        <v>10039323</v>
      </c>
    </row>
    <row r="36" spans="1:13" x14ac:dyDescent="0.2">
      <c r="A36" s="48">
        <v>4</v>
      </c>
      <c r="B36" s="49" t="s">
        <v>65</v>
      </c>
      <c r="C36" s="8">
        <v>8467744</v>
      </c>
      <c r="D36" s="47">
        <v>6.66</v>
      </c>
      <c r="E36" s="47">
        <v>0.14000000000000001</v>
      </c>
      <c r="F36" s="8">
        <v>137263693</v>
      </c>
      <c r="G36" s="48">
        <f t="shared" si="0"/>
        <v>147449505</v>
      </c>
      <c r="H36" s="48">
        <f>G36-F36</f>
        <v>10185812</v>
      </c>
      <c r="I36" s="8">
        <v>2103816</v>
      </c>
      <c r="J36" s="8">
        <v>122569510</v>
      </c>
      <c r="K36" s="8">
        <f>856344+5370095</f>
        <v>6226439</v>
      </c>
      <c r="L36" s="8">
        <v>0</v>
      </c>
      <c r="M36" s="8">
        <v>18653556</v>
      </c>
    </row>
    <row r="37" spans="1:13" x14ac:dyDescent="0.2">
      <c r="A37" s="48">
        <v>5</v>
      </c>
      <c r="B37" s="49" t="s">
        <v>66</v>
      </c>
      <c r="C37" s="8">
        <v>101140350</v>
      </c>
      <c r="D37" s="47">
        <v>7.56</v>
      </c>
      <c r="E37" s="47">
        <v>0.56000000000000005</v>
      </c>
      <c r="F37" s="8">
        <v>1380802738</v>
      </c>
      <c r="G37" s="48">
        <f t="shared" si="0"/>
        <v>1454935145</v>
      </c>
      <c r="H37" s="48">
        <f>G37-F37</f>
        <v>74132407</v>
      </c>
      <c r="I37" s="8">
        <v>49030636</v>
      </c>
      <c r="J37" s="8">
        <v>1230281671</v>
      </c>
      <c r="K37" s="8">
        <f>3955186+31427774+8190+13736485</f>
        <v>49127635</v>
      </c>
      <c r="L37" s="8">
        <v>50</v>
      </c>
      <c r="M37" s="8">
        <v>175525789</v>
      </c>
    </row>
    <row r="38" spans="1:13" x14ac:dyDescent="0.2">
      <c r="A38" s="48">
        <v>6</v>
      </c>
      <c r="B38" s="49" t="s">
        <v>67</v>
      </c>
      <c r="C38" s="8">
        <v>5386661</v>
      </c>
      <c r="D38" s="47">
        <v>4.8600000000000003</v>
      </c>
      <c r="E38" s="47">
        <v>0.49</v>
      </c>
      <c r="F38" s="8">
        <v>62195693</v>
      </c>
      <c r="G38" s="8">
        <f t="shared" si="0"/>
        <v>71682198</v>
      </c>
      <c r="H38" s="48">
        <f t="shared" si="1"/>
        <v>9486505</v>
      </c>
      <c r="I38" s="8">
        <v>229383</v>
      </c>
      <c r="J38" s="8">
        <v>32625899</v>
      </c>
      <c r="K38" s="8">
        <f>3296232+9971671+668864+10821671</f>
        <v>24758438</v>
      </c>
      <c r="L38" s="8">
        <v>0</v>
      </c>
      <c r="M38" s="8">
        <v>14297861</v>
      </c>
    </row>
    <row r="39" spans="1:13" x14ac:dyDescent="0.2">
      <c r="A39" s="48">
        <v>7</v>
      </c>
      <c r="B39" s="49" t="s">
        <v>68</v>
      </c>
      <c r="C39" s="8">
        <v>11302574</v>
      </c>
      <c r="D39" s="47">
        <v>3.21</v>
      </c>
      <c r="E39" s="47">
        <v>0.9</v>
      </c>
      <c r="F39" s="8">
        <v>40138101</v>
      </c>
      <c r="G39" s="48">
        <f t="shared" si="0"/>
        <v>40787225</v>
      </c>
      <c r="H39" s="48">
        <f t="shared" si="1"/>
        <v>649124</v>
      </c>
      <c r="I39" s="8">
        <v>332162</v>
      </c>
      <c r="J39" s="8">
        <v>0</v>
      </c>
      <c r="K39" s="8">
        <f>3337391+25498136</f>
        <v>28835527</v>
      </c>
      <c r="L39" s="8">
        <v>0</v>
      </c>
      <c r="M39" s="8">
        <v>11951698</v>
      </c>
    </row>
    <row r="40" spans="1:13" x14ac:dyDescent="0.2">
      <c r="A40" s="48">
        <v>8</v>
      </c>
      <c r="B40" s="49" t="s">
        <v>69</v>
      </c>
      <c r="C40" s="8">
        <v>41710324</v>
      </c>
      <c r="D40" s="47">
        <v>8.65</v>
      </c>
      <c r="E40" s="47">
        <v>0.39</v>
      </c>
      <c r="F40" s="8">
        <v>705529114</v>
      </c>
      <c r="G40" s="8">
        <f t="shared" si="0"/>
        <v>738330866</v>
      </c>
      <c r="H40" s="48">
        <f t="shared" si="1"/>
        <v>32801752</v>
      </c>
      <c r="I40" s="8">
        <v>6815392</v>
      </c>
      <c r="J40" s="8">
        <v>569376273</v>
      </c>
      <c r="K40" s="8">
        <f>9570263+30797164+8566704+39263426</f>
        <v>88197557</v>
      </c>
      <c r="L40" s="8">
        <v>3816890</v>
      </c>
      <c r="M40" s="8">
        <v>76940146</v>
      </c>
    </row>
    <row r="41" spans="1:13" x14ac:dyDescent="0.2">
      <c r="A41" s="48">
        <v>9</v>
      </c>
      <c r="B41" s="49" t="s">
        <v>70</v>
      </c>
      <c r="C41" s="48">
        <v>6108783</v>
      </c>
      <c r="D41" s="50">
        <v>4.97</v>
      </c>
      <c r="E41" s="50">
        <v>0.23</v>
      </c>
      <c r="F41" s="48">
        <v>93156969</v>
      </c>
      <c r="G41" s="48">
        <f t="shared" si="0"/>
        <v>107007293</v>
      </c>
      <c r="H41" s="48">
        <f t="shared" si="1"/>
        <v>13850324</v>
      </c>
      <c r="I41" s="48">
        <v>140473</v>
      </c>
      <c r="J41" s="48">
        <v>84118634</v>
      </c>
      <c r="K41" s="48">
        <f>1349024+740829+931787</f>
        <v>3021640</v>
      </c>
      <c r="L41" s="48">
        <v>0</v>
      </c>
      <c r="M41" s="48">
        <v>19867019</v>
      </c>
    </row>
    <row r="42" spans="1:13" x14ac:dyDescent="0.2">
      <c r="A42" s="48">
        <v>10</v>
      </c>
      <c r="B42" s="49" t="s">
        <v>71</v>
      </c>
      <c r="C42" s="48">
        <v>1676175</v>
      </c>
      <c r="D42" s="50">
        <v>0.33</v>
      </c>
      <c r="E42" s="50">
        <v>0.08</v>
      </c>
      <c r="F42" s="48">
        <v>2163769</v>
      </c>
      <c r="G42" s="8">
        <f t="shared" si="0"/>
        <v>2410777</v>
      </c>
      <c r="H42" s="48">
        <f>G42-F42</f>
        <v>247008</v>
      </c>
      <c r="I42" s="48">
        <v>27291</v>
      </c>
      <c r="J42" s="48">
        <v>0</v>
      </c>
      <c r="K42" s="48">
        <f>289292+198302</f>
        <v>487594</v>
      </c>
      <c r="L42" s="48">
        <v>0</v>
      </c>
      <c r="M42" s="48">
        <v>1923183</v>
      </c>
    </row>
    <row r="43" spans="1:13" x14ac:dyDescent="0.2">
      <c r="A43" s="48">
        <v>11</v>
      </c>
      <c r="B43" s="49" t="s">
        <v>72</v>
      </c>
      <c r="C43" s="8">
        <v>17305818</v>
      </c>
      <c r="D43" s="47">
        <v>5.76</v>
      </c>
      <c r="E43" s="47">
        <v>0.3</v>
      </c>
      <c r="F43" s="8">
        <v>296405712</v>
      </c>
      <c r="G43" s="8">
        <f t="shared" si="0"/>
        <v>326227686</v>
      </c>
      <c r="H43" s="48">
        <f t="shared" si="1"/>
        <v>29821974</v>
      </c>
      <c r="I43" s="8">
        <v>5331791</v>
      </c>
      <c r="J43" s="8">
        <v>276732653</v>
      </c>
      <c r="K43" s="8">
        <f>29298+2337943</f>
        <v>2367241</v>
      </c>
      <c r="L43" s="8">
        <v>0</v>
      </c>
      <c r="M43" s="8">
        <v>47127792</v>
      </c>
    </row>
    <row r="44" spans="1:13" x14ac:dyDescent="0.2">
      <c r="A44" s="48">
        <v>12</v>
      </c>
      <c r="B44" s="49" t="s">
        <v>73</v>
      </c>
      <c r="C44" s="8">
        <v>173958774</v>
      </c>
      <c r="D44" s="47">
        <v>6.62</v>
      </c>
      <c r="E44" s="47">
        <v>0.63</v>
      </c>
      <c r="F44" s="8">
        <v>1924866601</v>
      </c>
      <c r="G44" s="8">
        <f t="shared" si="0"/>
        <v>1960869162</v>
      </c>
      <c r="H44" s="48">
        <f t="shared" si="1"/>
        <v>36002561</v>
      </c>
      <c r="I44" s="8">
        <v>90403700</v>
      </c>
      <c r="J44" s="8">
        <v>1598527824</v>
      </c>
      <c r="K44" s="8">
        <f>2290353+45999940+11423374+58377490</f>
        <v>118091157</v>
      </c>
      <c r="L44" s="8">
        <v>405888</v>
      </c>
      <c r="M44" s="8">
        <v>243844293</v>
      </c>
    </row>
    <row r="45" spans="1:13" x14ac:dyDescent="0.2">
      <c r="A45" s="48">
        <v>13</v>
      </c>
      <c r="B45" s="49" t="s">
        <v>74</v>
      </c>
      <c r="C45" s="8">
        <v>23331384</v>
      </c>
      <c r="D45" s="47">
        <v>5.12</v>
      </c>
      <c r="E45" s="47">
        <v>0.14000000000000001</v>
      </c>
      <c r="F45" s="8">
        <v>337661141</v>
      </c>
      <c r="G45" s="8">
        <f t="shared" si="0"/>
        <v>372460050</v>
      </c>
      <c r="H45" s="48">
        <f t="shared" si="1"/>
        <v>34798909</v>
      </c>
      <c r="I45" s="8">
        <v>6944748</v>
      </c>
      <c r="J45" s="8">
        <v>276639878</v>
      </c>
      <c r="K45" s="8">
        <f>2633376+13091967+6528553+17450011</f>
        <v>39703907</v>
      </c>
      <c r="L45" s="8">
        <v>432717</v>
      </c>
      <c r="M45" s="8">
        <v>55683548</v>
      </c>
    </row>
    <row r="46" spans="1:13" x14ac:dyDescent="0.2">
      <c r="A46" s="48">
        <v>14</v>
      </c>
      <c r="B46" s="49" t="s">
        <v>75</v>
      </c>
      <c r="C46" s="8">
        <v>25290656</v>
      </c>
      <c r="D46" s="47">
        <v>10.220000000000001</v>
      </c>
      <c r="E46" s="47">
        <v>0.37</v>
      </c>
      <c r="F46" s="8">
        <v>453379521</v>
      </c>
      <c r="G46" s="8">
        <f t="shared" si="0"/>
        <v>462925550</v>
      </c>
      <c r="H46" s="48">
        <f t="shared" si="1"/>
        <v>9546029</v>
      </c>
      <c r="I46" s="8">
        <v>7443367</v>
      </c>
      <c r="J46" s="8">
        <v>342095457</v>
      </c>
      <c r="K46" s="8">
        <f>2190345+15321466+33679177+33639284</f>
        <v>84830272</v>
      </c>
      <c r="L46" s="8">
        <v>418510</v>
      </c>
      <c r="M46" s="8">
        <v>35581311</v>
      </c>
    </row>
    <row r="47" spans="1:13" x14ac:dyDescent="0.2">
      <c r="A47" s="48">
        <v>15</v>
      </c>
      <c r="B47" s="49" t="s">
        <v>76</v>
      </c>
      <c r="C47" s="8">
        <v>1676175</v>
      </c>
      <c r="D47" s="47">
        <v>0.63</v>
      </c>
      <c r="E47" s="47">
        <v>7.0000000000000007E-2</v>
      </c>
      <c r="F47" s="8">
        <v>3280740</v>
      </c>
      <c r="G47" s="8">
        <f t="shared" si="0"/>
        <v>3926764</v>
      </c>
      <c r="H47" s="48">
        <f t="shared" si="1"/>
        <v>646024</v>
      </c>
      <c r="I47" s="8">
        <v>587464</v>
      </c>
      <c r="J47" s="8">
        <v>0</v>
      </c>
      <c r="K47" s="8">
        <f>349296+1255269</f>
        <v>1604565</v>
      </c>
      <c r="L47" s="8">
        <v>0</v>
      </c>
      <c r="M47" s="8">
        <v>2322199</v>
      </c>
    </row>
    <row r="48" spans="1:13" x14ac:dyDescent="0.2">
      <c r="A48" s="48">
        <v>16</v>
      </c>
      <c r="B48" s="49" t="s">
        <v>77</v>
      </c>
      <c r="C48" s="8">
        <v>100384029</v>
      </c>
      <c r="D48" s="47">
        <v>8.2200000000000006</v>
      </c>
      <c r="E48" s="47">
        <v>0.11</v>
      </c>
      <c r="F48" s="8">
        <v>1675472580</v>
      </c>
      <c r="G48" s="48">
        <f t="shared" si="0"/>
        <v>1744383125</v>
      </c>
      <c r="H48" s="48">
        <f t="shared" si="1"/>
        <v>68910545</v>
      </c>
      <c r="I48" s="8">
        <v>9366953</v>
      </c>
      <c r="J48" s="8">
        <v>1432384143</v>
      </c>
      <c r="K48" s="8">
        <f>4327775+57441934+42167999+36921007</f>
        <v>140858715</v>
      </c>
      <c r="L48" s="8">
        <v>511503</v>
      </c>
      <c r="M48" s="8">
        <v>170628764</v>
      </c>
    </row>
    <row r="49" spans="1:13" x14ac:dyDescent="0.2">
      <c r="A49" s="48">
        <v>17</v>
      </c>
      <c r="B49" s="49" t="s">
        <v>78</v>
      </c>
      <c r="C49" s="8">
        <v>16909959</v>
      </c>
      <c r="D49" s="47">
        <v>2.97</v>
      </c>
      <c r="E49" s="47">
        <v>0.43</v>
      </c>
      <c r="F49" s="8">
        <v>163120022</v>
      </c>
      <c r="G49" s="48">
        <f t="shared" si="0"/>
        <v>180850450</v>
      </c>
      <c r="H49" s="48">
        <f>G49-F49</f>
        <v>17730428</v>
      </c>
      <c r="I49" s="8">
        <v>9691655</v>
      </c>
      <c r="J49" s="8">
        <v>31155484</v>
      </c>
      <c r="K49" s="8">
        <f>6846678+52670520+2614198+52276626</f>
        <v>114408022</v>
      </c>
      <c r="L49" s="8">
        <v>0</v>
      </c>
      <c r="M49" s="8">
        <v>35286944</v>
      </c>
    </row>
    <row r="50" spans="1:13" x14ac:dyDescent="0.2">
      <c r="A50" s="48">
        <v>18</v>
      </c>
      <c r="B50" s="49" t="s">
        <v>79</v>
      </c>
      <c r="C50" s="8">
        <v>2067786</v>
      </c>
      <c r="D50" s="47">
        <v>11.46</v>
      </c>
      <c r="E50" s="47">
        <v>0.46</v>
      </c>
      <c r="F50" s="8">
        <v>30030145</v>
      </c>
      <c r="G50" s="48">
        <f t="shared" si="0"/>
        <v>30770512</v>
      </c>
      <c r="H50" s="48">
        <f t="shared" ref="H50:H57" si="2">G50-F50</f>
        <v>740367</v>
      </c>
      <c r="I50" s="8">
        <v>65768</v>
      </c>
      <c r="J50" s="8">
        <v>26753816</v>
      </c>
      <c r="K50" s="8">
        <f>143564+745282+379948</f>
        <v>1268794</v>
      </c>
      <c r="L50" s="8">
        <v>0</v>
      </c>
      <c r="M50" s="8">
        <v>2747902</v>
      </c>
    </row>
    <row r="51" spans="1:13" x14ac:dyDescent="0.2">
      <c r="A51" s="48">
        <v>19</v>
      </c>
      <c r="B51" s="49" t="s">
        <v>95</v>
      </c>
      <c r="C51" s="8">
        <v>81592916</v>
      </c>
      <c r="D51" s="47">
        <v>10.51</v>
      </c>
      <c r="E51" s="47">
        <v>0.2</v>
      </c>
      <c r="F51" s="8">
        <v>1310299345</v>
      </c>
      <c r="G51" s="48">
        <f t="shared" si="0"/>
        <v>1317416332</v>
      </c>
      <c r="H51" s="48">
        <f t="shared" si="2"/>
        <v>7116987</v>
      </c>
      <c r="I51" s="8">
        <v>6404129</v>
      </c>
      <c r="J51" s="8">
        <v>1149250270</v>
      </c>
      <c r="K51" s="8">
        <f>11969368+35906168+3250669+27380248</f>
        <v>78506453</v>
      </c>
      <c r="L51" s="8">
        <v>28</v>
      </c>
      <c r="M51" s="8">
        <v>89659581</v>
      </c>
    </row>
    <row r="52" spans="1:13" x14ac:dyDescent="0.2">
      <c r="A52" s="48">
        <v>20</v>
      </c>
      <c r="B52" s="49" t="s">
        <v>81</v>
      </c>
      <c r="C52" s="8">
        <v>20246864</v>
      </c>
      <c r="D52" s="47">
        <v>11.43</v>
      </c>
      <c r="E52" s="47">
        <v>0.08</v>
      </c>
      <c r="F52" s="8">
        <v>356826042</v>
      </c>
      <c r="G52" s="8">
        <f t="shared" si="0"/>
        <v>361214436</v>
      </c>
      <c r="H52" s="48">
        <f t="shared" si="2"/>
        <v>4388394</v>
      </c>
      <c r="I52" s="8">
        <v>423189</v>
      </c>
      <c r="J52" s="8">
        <v>331904917</v>
      </c>
      <c r="K52" s="8">
        <f>902166+3687571+84526</f>
        <v>4674263</v>
      </c>
      <c r="L52" s="8">
        <v>0</v>
      </c>
      <c r="M52" s="8">
        <v>24635256</v>
      </c>
    </row>
    <row r="53" spans="1:13" x14ac:dyDescent="0.2">
      <c r="A53" s="48">
        <v>21</v>
      </c>
      <c r="B53" s="49" t="s">
        <v>82</v>
      </c>
      <c r="C53" s="8">
        <v>38205611</v>
      </c>
      <c r="D53" s="47">
        <v>7.53</v>
      </c>
      <c r="E53" s="47">
        <v>0.19</v>
      </c>
      <c r="F53" s="8">
        <v>670176475</v>
      </c>
      <c r="G53" s="48">
        <f>+J53+K53+L53+M53</f>
        <v>684010786</v>
      </c>
      <c r="H53" s="48">
        <f>G53-F53</f>
        <v>13834311</v>
      </c>
      <c r="I53" s="8">
        <v>14552449</v>
      </c>
      <c r="J53" s="8">
        <v>609022033</v>
      </c>
      <c r="K53" s="8">
        <f>390782+4397544+21637353</f>
        <v>26425679</v>
      </c>
      <c r="L53" s="8">
        <v>427687</v>
      </c>
      <c r="M53" s="8">
        <v>48135387</v>
      </c>
    </row>
    <row r="54" spans="1:13" x14ac:dyDescent="0.2">
      <c r="A54" s="48">
        <v>22</v>
      </c>
      <c r="B54" s="49" t="s">
        <v>83</v>
      </c>
      <c r="C54" s="8">
        <v>70548736</v>
      </c>
      <c r="D54" s="47">
        <v>13.8</v>
      </c>
      <c r="E54" s="47">
        <v>0.42</v>
      </c>
      <c r="F54" s="8">
        <v>1238748900</v>
      </c>
      <c r="G54" s="48">
        <f t="shared" si="0"/>
        <v>1249643501</v>
      </c>
      <c r="H54" s="48">
        <f t="shared" si="2"/>
        <v>10894601</v>
      </c>
      <c r="I54" s="8">
        <v>6895383</v>
      </c>
      <c r="J54" s="8">
        <v>1148798909</v>
      </c>
      <c r="K54" s="8">
        <f>885722+11967975+2815827+4047996</f>
        <v>19717520</v>
      </c>
      <c r="L54" s="8">
        <v>0</v>
      </c>
      <c r="M54" s="8">
        <v>81127072</v>
      </c>
    </row>
    <row r="55" spans="1:13" x14ac:dyDescent="0.2">
      <c r="A55" s="48">
        <v>23</v>
      </c>
      <c r="B55" s="49" t="s">
        <v>84</v>
      </c>
      <c r="C55" s="8">
        <v>15475703</v>
      </c>
      <c r="D55" s="47">
        <v>7.32</v>
      </c>
      <c r="E55" s="47">
        <v>0.3</v>
      </c>
      <c r="F55" s="8">
        <v>268160556</v>
      </c>
      <c r="G55" s="8">
        <f>+J55+K55+L55+M55</f>
        <v>271734984</v>
      </c>
      <c r="H55" s="48">
        <f>G55-F55</f>
        <v>3574428</v>
      </c>
      <c r="I55" s="8">
        <v>3504896</v>
      </c>
      <c r="J55" s="8">
        <v>249977600</v>
      </c>
      <c r="K55" s="8">
        <f>2285661+168303+285528</f>
        <v>2739492</v>
      </c>
      <c r="L55" s="8">
        <v>1583</v>
      </c>
      <c r="M55" s="8">
        <v>19016309</v>
      </c>
    </row>
    <row r="56" spans="1:13" x14ac:dyDescent="0.2">
      <c r="A56" s="48">
        <v>24</v>
      </c>
      <c r="B56" s="49" t="s">
        <v>85</v>
      </c>
      <c r="C56" s="8">
        <v>9847347</v>
      </c>
      <c r="D56" s="47">
        <v>0.83</v>
      </c>
      <c r="E56" s="47">
        <v>0.18</v>
      </c>
      <c r="F56" s="8">
        <v>46506968</v>
      </c>
      <c r="G56" s="48">
        <f>+J56+K56+L56+M56</f>
        <v>62182454</v>
      </c>
      <c r="H56" s="48">
        <f>G56-F56</f>
        <v>15675486</v>
      </c>
      <c r="I56" s="8">
        <v>19275742</v>
      </c>
      <c r="J56" s="8">
        <v>0</v>
      </c>
      <c r="K56" s="8">
        <f>8237391+26334864+2345056</f>
        <v>36917311</v>
      </c>
      <c r="L56" s="8">
        <v>49249</v>
      </c>
      <c r="M56" s="8">
        <v>25215894</v>
      </c>
    </row>
    <row r="57" spans="1:13" x14ac:dyDescent="0.2">
      <c r="A57" s="48">
        <v>25</v>
      </c>
      <c r="B57" s="49" t="s">
        <v>96</v>
      </c>
      <c r="C57" s="8">
        <v>36232529</v>
      </c>
      <c r="D57" s="47">
        <v>7.72</v>
      </c>
      <c r="E57" s="47">
        <v>0.13</v>
      </c>
      <c r="F57" s="8">
        <v>591334179</v>
      </c>
      <c r="G57" s="8">
        <f t="shared" si="0"/>
        <v>617257189</v>
      </c>
      <c r="H57" s="48">
        <f t="shared" si="2"/>
        <v>25923010</v>
      </c>
      <c r="I57" s="8">
        <v>6159491</v>
      </c>
      <c r="J57" s="8">
        <v>485811189</v>
      </c>
      <c r="K57" s="8">
        <f>2491355+39922753+18736404+8219825</f>
        <v>69370337</v>
      </c>
      <c r="L57" s="8">
        <v>245367</v>
      </c>
      <c r="M57" s="8">
        <v>61830296</v>
      </c>
    </row>
    <row r="58" spans="1:13" x14ac:dyDescent="0.2">
      <c r="A58" s="48">
        <v>26</v>
      </c>
      <c r="B58" s="49" t="s">
        <v>88</v>
      </c>
      <c r="C58" s="8">
        <v>54359645</v>
      </c>
      <c r="D58" s="47">
        <v>8.26</v>
      </c>
      <c r="E58" s="47">
        <v>0.21</v>
      </c>
      <c r="F58" s="8">
        <v>935686603</v>
      </c>
      <c r="G58" s="48">
        <f>+J58+K58+L58+M58</f>
        <v>958706973</v>
      </c>
      <c r="H58" s="48">
        <f t="shared" si="1"/>
        <v>23020370</v>
      </c>
      <c r="I58" s="8">
        <v>21852209</v>
      </c>
      <c r="J58" s="8">
        <v>848864165</v>
      </c>
      <c r="K58" s="8">
        <f>792596+10910865+11835258+8794768</f>
        <v>32333487</v>
      </c>
      <c r="L58" s="8">
        <v>0</v>
      </c>
      <c r="M58" s="8">
        <v>77509321</v>
      </c>
    </row>
    <row r="59" spans="1:13" x14ac:dyDescent="0.2">
      <c r="A59" s="65" t="s">
        <v>97</v>
      </c>
      <c r="B59" s="13"/>
      <c r="C59" s="51">
        <f>SUM(C33:C58)</f>
        <v>871419241</v>
      </c>
      <c r="D59" s="52"/>
      <c r="E59" s="52"/>
      <c r="F59" s="51">
        <f t="shared" ref="F59:M59" si="3">SUM(F33:F58)</f>
        <v>12748703454</v>
      </c>
      <c r="G59" s="51">
        <f t="shared" si="3"/>
        <v>13198604283</v>
      </c>
      <c r="H59" s="51">
        <f t="shared" si="3"/>
        <v>449900829</v>
      </c>
      <c r="I59" s="51">
        <f t="shared" si="3"/>
        <v>269304980</v>
      </c>
      <c r="J59" s="51">
        <f t="shared" si="3"/>
        <v>10846890325</v>
      </c>
      <c r="K59" s="51">
        <f t="shared" si="3"/>
        <v>991879617</v>
      </c>
      <c r="L59" s="51">
        <f t="shared" si="3"/>
        <v>6309472</v>
      </c>
      <c r="M59" s="51">
        <f t="shared" si="3"/>
        <v>1353524869</v>
      </c>
    </row>
    <row r="60" spans="1:13" x14ac:dyDescent="0.2">
      <c r="A60" s="66"/>
      <c r="B60" s="66"/>
      <c r="C60" s="8"/>
      <c r="D60" s="47"/>
      <c r="E60" s="47"/>
      <c r="F60" s="8"/>
      <c r="G60" s="8"/>
      <c r="H60" s="8"/>
      <c r="I60" s="8"/>
      <c r="J60" s="8"/>
      <c r="K60" s="8"/>
      <c r="L60" s="8"/>
      <c r="M60" s="8"/>
    </row>
    <row r="61" spans="1:13" x14ac:dyDescent="0.2">
      <c r="A61" s="3" t="s">
        <v>98</v>
      </c>
      <c r="B61" s="53"/>
      <c r="C61" s="8"/>
      <c r="D61" s="47"/>
      <c r="E61" s="47"/>
      <c r="F61" s="8"/>
      <c r="G61" s="8"/>
      <c r="H61" s="8"/>
      <c r="I61" s="8"/>
      <c r="J61" s="8"/>
      <c r="K61" s="8"/>
      <c r="L61" s="8"/>
      <c r="M61" s="54"/>
    </row>
    <row r="62" spans="1:13" x14ac:dyDescent="0.2">
      <c r="A62" s="48">
        <v>1</v>
      </c>
      <c r="B62" s="49" t="s">
        <v>90</v>
      </c>
      <c r="C62" s="8">
        <v>2234900</v>
      </c>
      <c r="D62" s="47">
        <v>1.55</v>
      </c>
      <c r="E62" s="47">
        <v>0.04</v>
      </c>
      <c r="F62" s="8">
        <v>34075506</v>
      </c>
      <c r="G62" s="48">
        <f>+J62+K62+L62+M62</f>
        <v>42660770</v>
      </c>
      <c r="H62" s="48">
        <f>G62-F62</f>
        <v>8585264</v>
      </c>
      <c r="I62" s="8">
        <v>10714500</v>
      </c>
      <c r="J62" s="8">
        <v>31784880</v>
      </c>
      <c r="K62" s="8">
        <v>55726</v>
      </c>
      <c r="L62" s="8">
        <v>0</v>
      </c>
      <c r="M62" s="8">
        <v>10820164</v>
      </c>
    </row>
    <row r="63" spans="1:13" x14ac:dyDescent="0.2">
      <c r="A63" s="48"/>
      <c r="B63" s="49"/>
      <c r="C63" s="8"/>
      <c r="D63" s="47"/>
      <c r="E63" s="47"/>
      <c r="F63" s="8"/>
      <c r="G63" s="48"/>
      <c r="H63" s="48"/>
      <c r="I63" s="8"/>
      <c r="J63" s="8"/>
      <c r="K63" s="8"/>
      <c r="L63" s="8"/>
      <c r="M63" s="8"/>
    </row>
    <row r="64" spans="1:13" x14ac:dyDescent="0.2">
      <c r="A64" s="65" t="s">
        <v>99</v>
      </c>
      <c r="B64" s="55"/>
      <c r="C64" s="51">
        <f>SUM(C62)</f>
        <v>2234900</v>
      </c>
      <c r="D64" s="52"/>
      <c r="E64" s="52"/>
      <c r="F64" s="51">
        <f t="shared" ref="F64:M64" si="4">SUM(F62)</f>
        <v>34075506</v>
      </c>
      <c r="G64" s="51">
        <f t="shared" si="4"/>
        <v>42660770</v>
      </c>
      <c r="H64" s="51">
        <f t="shared" si="4"/>
        <v>8585264</v>
      </c>
      <c r="I64" s="51">
        <f t="shared" si="4"/>
        <v>10714500</v>
      </c>
      <c r="J64" s="51">
        <f t="shared" si="4"/>
        <v>31784880</v>
      </c>
      <c r="K64" s="51">
        <f t="shared" si="4"/>
        <v>55726</v>
      </c>
      <c r="L64" s="51">
        <f t="shared" si="4"/>
        <v>0</v>
      </c>
      <c r="M64" s="51">
        <f t="shared" si="4"/>
        <v>10820164</v>
      </c>
    </row>
    <row r="65" spans="1:13" ht="13.5" thickBot="1" x14ac:dyDescent="0.25">
      <c r="A65" s="8"/>
      <c r="B65" s="8"/>
      <c r="C65" s="8"/>
      <c r="D65" s="47"/>
      <c r="E65" s="47"/>
      <c r="F65" s="8"/>
      <c r="G65" s="8"/>
      <c r="H65" s="8"/>
      <c r="I65" s="48"/>
      <c r="J65" s="48"/>
      <c r="K65" s="48"/>
      <c r="L65" s="8"/>
      <c r="M65" s="54"/>
    </row>
    <row r="66" spans="1:13" ht="13.5" thickBot="1" x14ac:dyDescent="0.25">
      <c r="A66" s="67" t="s">
        <v>100</v>
      </c>
      <c r="B66" s="68"/>
      <c r="C66" s="69">
        <f>C59+C64</f>
        <v>873654141</v>
      </c>
      <c r="D66" s="70"/>
      <c r="E66" s="70"/>
      <c r="F66" s="69">
        <f t="shared" ref="F66:M66" si="5">F59+F64</f>
        <v>12782778960</v>
      </c>
      <c r="G66" s="69">
        <f t="shared" si="5"/>
        <v>13241265053</v>
      </c>
      <c r="H66" s="69">
        <f t="shared" si="5"/>
        <v>458486093</v>
      </c>
      <c r="I66" s="69">
        <f t="shared" si="5"/>
        <v>280019480</v>
      </c>
      <c r="J66" s="71">
        <f t="shared" si="5"/>
        <v>10878675205</v>
      </c>
      <c r="K66" s="71">
        <f t="shared" si="5"/>
        <v>991935343</v>
      </c>
      <c r="L66" s="69">
        <f t="shared" si="5"/>
        <v>6309472</v>
      </c>
      <c r="M66" s="69">
        <f t="shared" si="5"/>
        <v>1364345033</v>
      </c>
    </row>
    <row r="67" spans="1:13" x14ac:dyDescent="0.2">
      <c r="A67" s="8"/>
      <c r="B67" s="8"/>
      <c r="C67" s="8"/>
      <c r="D67" s="8"/>
      <c r="E67" s="8"/>
      <c r="F67" s="8"/>
      <c r="G67" s="8"/>
      <c r="H67" s="8"/>
      <c r="I67" s="8"/>
      <c r="J67" s="8"/>
      <c r="K67" s="8"/>
      <c r="L67" s="8"/>
      <c r="M67" s="8"/>
    </row>
    <row r="68" spans="1:13" x14ac:dyDescent="0.2">
      <c r="A68" s="72" t="s">
        <v>101</v>
      </c>
      <c r="B68" s="54" t="s">
        <v>102</v>
      </c>
      <c r="C68" s="8"/>
      <c r="D68" s="8"/>
      <c r="E68" s="8"/>
      <c r="F68" s="8"/>
      <c r="G68" s="8"/>
      <c r="H68" s="8"/>
      <c r="I68" s="8"/>
      <c r="J68" s="8"/>
      <c r="K68" s="8"/>
      <c r="L68" s="8"/>
      <c r="M68" s="60"/>
    </row>
    <row r="69" spans="1:13" x14ac:dyDescent="0.2">
      <c r="A69" s="73"/>
      <c r="B69" s="8"/>
      <c r="C69" s="8"/>
      <c r="D69" s="8"/>
      <c r="E69" s="8"/>
      <c r="F69" s="8"/>
      <c r="G69" s="8"/>
      <c r="H69" s="8"/>
      <c r="I69" s="8"/>
      <c r="J69" s="8"/>
      <c r="K69" s="8"/>
      <c r="L69" s="8"/>
      <c r="M69" s="8"/>
    </row>
    <row r="70" spans="1:13" x14ac:dyDescent="0.2">
      <c r="A70" s="73"/>
      <c r="B70" s="8"/>
      <c r="C70" s="8"/>
      <c r="D70" s="8"/>
      <c r="E70" s="8"/>
      <c r="F70" s="8"/>
      <c r="G70" s="8"/>
      <c r="H70" s="8"/>
      <c r="I70" s="8"/>
      <c r="J70" s="8"/>
      <c r="K70" s="8"/>
      <c r="L70" s="8"/>
      <c r="M70" s="8"/>
    </row>
  </sheetData>
  <mergeCells count="3">
    <mergeCell ref="D6:E6"/>
    <mergeCell ref="D15:E15"/>
    <mergeCell ref="D28:E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workbookViewId="0"/>
  </sheetViews>
  <sheetFormatPr baseColWidth="10" defaultRowHeight="12.75" x14ac:dyDescent="0.2"/>
  <cols>
    <col min="1" max="1" width="2.7109375" style="2" customWidth="1"/>
    <col min="2" max="2" width="21.5703125" style="2" customWidth="1"/>
    <col min="3"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12" width="11.42578125" style="2"/>
    <col min="13" max="13" width="12.28515625" style="2" bestFit="1" customWidth="1"/>
    <col min="14" max="256" width="11.42578125" style="2"/>
    <col min="257" max="257" width="2.7109375" style="2" customWidth="1"/>
    <col min="258" max="258" width="21.5703125" style="2" customWidth="1"/>
    <col min="259"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2.7109375" style="2" customWidth="1"/>
    <col min="514" max="514" width="21.5703125" style="2" customWidth="1"/>
    <col min="515"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2.7109375" style="2" customWidth="1"/>
    <col min="770" max="770" width="21.5703125" style="2" customWidth="1"/>
    <col min="771"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2.7109375" style="2" customWidth="1"/>
    <col min="1026" max="1026" width="21.5703125" style="2" customWidth="1"/>
    <col min="1027"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2.7109375" style="2" customWidth="1"/>
    <col min="1282" max="1282" width="21.5703125" style="2" customWidth="1"/>
    <col min="1283"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2.7109375" style="2" customWidth="1"/>
    <col min="1538" max="1538" width="21.5703125" style="2" customWidth="1"/>
    <col min="1539"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2.7109375" style="2" customWidth="1"/>
    <col min="1794" max="1794" width="21.5703125" style="2" customWidth="1"/>
    <col min="1795"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2.7109375" style="2" customWidth="1"/>
    <col min="2050" max="2050" width="21.5703125" style="2" customWidth="1"/>
    <col min="2051"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2.7109375" style="2" customWidth="1"/>
    <col min="2306" max="2306" width="21.5703125" style="2" customWidth="1"/>
    <col min="2307"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2.7109375" style="2" customWidth="1"/>
    <col min="2562" max="2562" width="21.5703125" style="2" customWidth="1"/>
    <col min="2563"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2.7109375" style="2" customWidth="1"/>
    <col min="2818" max="2818" width="21.5703125" style="2" customWidth="1"/>
    <col min="2819"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2.7109375" style="2" customWidth="1"/>
    <col min="3074" max="3074" width="21.5703125" style="2" customWidth="1"/>
    <col min="3075"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2.7109375" style="2" customWidth="1"/>
    <col min="3330" max="3330" width="21.5703125" style="2" customWidth="1"/>
    <col min="3331"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2.7109375" style="2" customWidth="1"/>
    <col min="3586" max="3586" width="21.5703125" style="2" customWidth="1"/>
    <col min="3587"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2.7109375" style="2" customWidth="1"/>
    <col min="3842" max="3842" width="21.5703125" style="2" customWidth="1"/>
    <col min="3843"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2.7109375" style="2" customWidth="1"/>
    <col min="4098" max="4098" width="21.5703125" style="2" customWidth="1"/>
    <col min="4099"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2.7109375" style="2" customWidth="1"/>
    <col min="4354" max="4354" width="21.5703125" style="2" customWidth="1"/>
    <col min="4355"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2.7109375" style="2" customWidth="1"/>
    <col min="4610" max="4610" width="21.5703125" style="2" customWidth="1"/>
    <col min="4611"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2.7109375" style="2" customWidth="1"/>
    <col min="4866" max="4866" width="21.5703125" style="2" customWidth="1"/>
    <col min="4867"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2.7109375" style="2" customWidth="1"/>
    <col min="5122" max="5122" width="21.5703125" style="2" customWidth="1"/>
    <col min="5123"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2.7109375" style="2" customWidth="1"/>
    <col min="5378" max="5378" width="21.5703125" style="2" customWidth="1"/>
    <col min="5379"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2.7109375" style="2" customWidth="1"/>
    <col min="5634" max="5634" width="21.5703125" style="2" customWidth="1"/>
    <col min="5635"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2.7109375" style="2" customWidth="1"/>
    <col min="5890" max="5890" width="21.5703125" style="2" customWidth="1"/>
    <col min="5891"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2.7109375" style="2" customWidth="1"/>
    <col min="6146" max="6146" width="21.5703125" style="2" customWidth="1"/>
    <col min="6147"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2.7109375" style="2" customWidth="1"/>
    <col min="6402" max="6402" width="21.5703125" style="2" customWidth="1"/>
    <col min="6403"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2.7109375" style="2" customWidth="1"/>
    <col min="6658" max="6658" width="21.5703125" style="2" customWidth="1"/>
    <col min="6659"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2.7109375" style="2" customWidth="1"/>
    <col min="6914" max="6914" width="21.5703125" style="2" customWidth="1"/>
    <col min="6915"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2.7109375" style="2" customWidth="1"/>
    <col min="7170" max="7170" width="21.5703125" style="2" customWidth="1"/>
    <col min="7171"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2.7109375" style="2" customWidth="1"/>
    <col min="7426" max="7426" width="21.5703125" style="2" customWidth="1"/>
    <col min="7427"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2.7109375" style="2" customWidth="1"/>
    <col min="7682" max="7682" width="21.5703125" style="2" customWidth="1"/>
    <col min="7683"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2.7109375" style="2" customWidth="1"/>
    <col min="7938" max="7938" width="21.5703125" style="2" customWidth="1"/>
    <col min="7939"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2.7109375" style="2" customWidth="1"/>
    <col min="8194" max="8194" width="21.5703125" style="2" customWidth="1"/>
    <col min="8195"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2.7109375" style="2" customWidth="1"/>
    <col min="8450" max="8450" width="21.5703125" style="2" customWidth="1"/>
    <col min="8451"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2.7109375" style="2" customWidth="1"/>
    <col min="8706" max="8706" width="21.5703125" style="2" customWidth="1"/>
    <col min="8707"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2.7109375" style="2" customWidth="1"/>
    <col min="8962" max="8962" width="21.5703125" style="2" customWidth="1"/>
    <col min="8963"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2.7109375" style="2" customWidth="1"/>
    <col min="9218" max="9218" width="21.5703125" style="2" customWidth="1"/>
    <col min="9219"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2.7109375" style="2" customWidth="1"/>
    <col min="9474" max="9474" width="21.5703125" style="2" customWidth="1"/>
    <col min="9475"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2.7109375" style="2" customWidth="1"/>
    <col min="9730" max="9730" width="21.5703125" style="2" customWidth="1"/>
    <col min="9731"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2.7109375" style="2" customWidth="1"/>
    <col min="9986" max="9986" width="21.5703125" style="2" customWidth="1"/>
    <col min="9987"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2.7109375" style="2" customWidth="1"/>
    <col min="10242" max="10242" width="21.5703125" style="2" customWidth="1"/>
    <col min="10243"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2.7109375" style="2" customWidth="1"/>
    <col min="10498" max="10498" width="21.5703125" style="2" customWidth="1"/>
    <col min="10499"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2.7109375" style="2" customWidth="1"/>
    <col min="10754" max="10754" width="21.5703125" style="2" customWidth="1"/>
    <col min="10755"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2.7109375" style="2" customWidth="1"/>
    <col min="11010" max="11010" width="21.5703125" style="2" customWidth="1"/>
    <col min="11011"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2.7109375" style="2" customWidth="1"/>
    <col min="11266" max="11266" width="21.5703125" style="2" customWidth="1"/>
    <col min="11267"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2.7109375" style="2" customWidth="1"/>
    <col min="11522" max="11522" width="21.5703125" style="2" customWidth="1"/>
    <col min="11523"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2.7109375" style="2" customWidth="1"/>
    <col min="11778" max="11778" width="21.5703125" style="2" customWidth="1"/>
    <col min="11779"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2.7109375" style="2" customWidth="1"/>
    <col min="12034" max="12034" width="21.5703125" style="2" customWidth="1"/>
    <col min="12035"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2.7109375" style="2" customWidth="1"/>
    <col min="12290" max="12290" width="21.5703125" style="2" customWidth="1"/>
    <col min="12291"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2.7109375" style="2" customWidth="1"/>
    <col min="12546" max="12546" width="21.5703125" style="2" customWidth="1"/>
    <col min="12547"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2.7109375" style="2" customWidth="1"/>
    <col min="12802" max="12802" width="21.5703125" style="2" customWidth="1"/>
    <col min="12803"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2.7109375" style="2" customWidth="1"/>
    <col min="13058" max="13058" width="21.5703125" style="2" customWidth="1"/>
    <col min="13059"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2.7109375" style="2" customWidth="1"/>
    <col min="13314" max="13314" width="21.5703125" style="2" customWidth="1"/>
    <col min="13315"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2.7109375" style="2" customWidth="1"/>
    <col min="13570" max="13570" width="21.5703125" style="2" customWidth="1"/>
    <col min="13571"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2.7109375" style="2" customWidth="1"/>
    <col min="13826" max="13826" width="21.5703125" style="2" customWidth="1"/>
    <col min="13827"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2.7109375" style="2" customWidth="1"/>
    <col min="14082" max="14082" width="21.5703125" style="2" customWidth="1"/>
    <col min="14083"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2.7109375" style="2" customWidth="1"/>
    <col min="14338" max="14338" width="21.5703125" style="2" customWidth="1"/>
    <col min="14339"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2.7109375" style="2" customWidth="1"/>
    <col min="14594" max="14594" width="21.5703125" style="2" customWidth="1"/>
    <col min="14595"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2.7109375" style="2" customWidth="1"/>
    <col min="14850" max="14850" width="21.5703125" style="2" customWidth="1"/>
    <col min="14851"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2.7109375" style="2" customWidth="1"/>
    <col min="15106" max="15106" width="21.5703125" style="2" customWidth="1"/>
    <col min="15107"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2.7109375" style="2" customWidth="1"/>
    <col min="15362" max="15362" width="21.5703125" style="2" customWidth="1"/>
    <col min="15363"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2.7109375" style="2" customWidth="1"/>
    <col min="15618" max="15618" width="21.5703125" style="2" customWidth="1"/>
    <col min="15619"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2.7109375" style="2" customWidth="1"/>
    <col min="15874" max="15874" width="21.5703125" style="2" customWidth="1"/>
    <col min="15875"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2.7109375" style="2" customWidth="1"/>
    <col min="16130" max="16130" width="21.5703125" style="2" customWidth="1"/>
    <col min="16131"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2" x14ac:dyDescent="0.2">
      <c r="A1" s="78" t="s">
        <v>46</v>
      </c>
    </row>
    <row r="2" spans="1:12" x14ac:dyDescent="0.2">
      <c r="A2" s="3" t="s">
        <v>0</v>
      </c>
      <c r="B2" s="4"/>
    </row>
    <row r="3" spans="1:12" x14ac:dyDescent="0.2">
      <c r="A3" s="5" t="s">
        <v>103</v>
      </c>
      <c r="B3" s="6"/>
      <c r="C3" s="7"/>
      <c r="D3" s="7"/>
      <c r="E3" s="8"/>
    </row>
    <row r="5" spans="1:12" x14ac:dyDescent="0.2">
      <c r="A5" s="9" t="s">
        <v>1</v>
      </c>
      <c r="B5" s="10"/>
      <c r="C5" s="9"/>
      <c r="D5" s="10"/>
    </row>
    <row r="6" spans="1:12" x14ac:dyDescent="0.2">
      <c r="A6" s="11" t="s">
        <v>2</v>
      </c>
      <c r="B6" s="12"/>
      <c r="C6" s="12"/>
      <c r="D6" s="85" t="s">
        <v>3</v>
      </c>
      <c r="E6" s="83"/>
      <c r="F6" s="15" t="s">
        <v>4</v>
      </c>
      <c r="G6" s="15" t="s">
        <v>5</v>
      </c>
      <c r="H6" s="16" t="s">
        <v>6</v>
      </c>
      <c r="I6" s="15" t="s">
        <v>4</v>
      </c>
      <c r="J6" s="15" t="s">
        <v>5</v>
      </c>
      <c r="K6" s="16" t="s">
        <v>6</v>
      </c>
      <c r="L6" s="17"/>
    </row>
    <row r="7" spans="1:12" x14ac:dyDescent="0.2">
      <c r="A7" s="10"/>
      <c r="B7" s="10"/>
      <c r="C7" s="10"/>
      <c r="D7" s="24" t="s">
        <v>7</v>
      </c>
      <c r="E7" s="24" t="s">
        <v>8</v>
      </c>
      <c r="F7" s="19" t="s">
        <v>9</v>
      </c>
      <c r="G7" s="19" t="s">
        <v>10</v>
      </c>
      <c r="H7" s="19" t="s">
        <v>11</v>
      </c>
      <c r="I7" s="19" t="s">
        <v>12</v>
      </c>
      <c r="J7" s="19" t="s">
        <v>10</v>
      </c>
      <c r="K7" s="19" t="s">
        <v>11</v>
      </c>
    </row>
    <row r="8" spans="1:12" x14ac:dyDescent="0.2">
      <c r="A8" s="20"/>
      <c r="B8" s="20"/>
      <c r="C8" s="20"/>
      <c r="D8" s="20"/>
      <c r="E8" s="20"/>
      <c r="F8" s="21" t="s">
        <v>13</v>
      </c>
      <c r="G8" s="21" t="s">
        <v>14</v>
      </c>
      <c r="H8" s="21" t="s">
        <v>15</v>
      </c>
      <c r="I8" s="21" t="s">
        <v>16</v>
      </c>
      <c r="J8" s="22" t="s">
        <v>17</v>
      </c>
      <c r="K8" s="22" t="s">
        <v>17</v>
      </c>
    </row>
    <row r="9" spans="1:12" x14ac:dyDescent="0.2">
      <c r="A9" s="10"/>
      <c r="B9" s="10"/>
      <c r="C9" s="10"/>
      <c r="D9" s="23"/>
      <c r="E9" s="23"/>
      <c r="F9" s="24"/>
      <c r="G9" s="24"/>
      <c r="H9" s="24"/>
      <c r="I9" s="24"/>
      <c r="J9" s="25"/>
      <c r="K9" s="25"/>
    </row>
    <row r="10" spans="1:12" x14ac:dyDescent="0.2">
      <c r="A10" s="61">
        <v>1</v>
      </c>
      <c r="B10" s="9" t="s">
        <v>18</v>
      </c>
      <c r="C10" s="10"/>
      <c r="D10" s="26">
        <v>1.1100000000000001</v>
      </c>
      <c r="E10" s="27">
        <v>0.02</v>
      </c>
      <c r="F10" s="28">
        <v>67194883</v>
      </c>
      <c r="G10" s="28">
        <v>67194883</v>
      </c>
      <c r="H10" s="28">
        <f>G10-F10</f>
        <v>0</v>
      </c>
      <c r="I10" s="28">
        <v>61777812</v>
      </c>
      <c r="J10" s="28">
        <v>63098881</v>
      </c>
      <c r="K10" s="28">
        <f>J10-I10</f>
        <v>1321069</v>
      </c>
    </row>
    <row r="11" spans="1:12" x14ac:dyDescent="0.2">
      <c r="A11" s="61">
        <v>2</v>
      </c>
      <c r="B11" s="9" t="s">
        <v>19</v>
      </c>
      <c r="C11" s="10"/>
      <c r="D11" s="26">
        <v>0.44</v>
      </c>
      <c r="E11" s="26">
        <v>0.01</v>
      </c>
      <c r="F11" s="28">
        <v>19008384</v>
      </c>
      <c r="G11" s="28">
        <v>19008384</v>
      </c>
      <c r="H11" s="28">
        <f>G11-F11</f>
        <v>0</v>
      </c>
      <c r="I11" s="28">
        <v>44966702</v>
      </c>
      <c r="J11" s="28">
        <v>45493853</v>
      </c>
      <c r="K11" s="28">
        <f>J11-I11</f>
        <v>527151</v>
      </c>
    </row>
    <row r="12" spans="1:12" x14ac:dyDescent="0.2">
      <c r="A12" s="10"/>
      <c r="B12" s="10"/>
      <c r="C12" s="10"/>
      <c r="D12" s="23"/>
      <c r="E12" s="23"/>
      <c r="F12" s="28"/>
      <c r="G12" s="28"/>
      <c r="H12" s="28"/>
      <c r="I12" s="28"/>
      <c r="J12" s="28"/>
      <c r="K12" s="28"/>
    </row>
    <row r="13" spans="1:12" s="10" customFormat="1" x14ac:dyDescent="0.2">
      <c r="A13" s="2"/>
      <c r="B13" s="2"/>
      <c r="C13" s="2"/>
      <c r="D13" s="29"/>
      <c r="E13" s="29"/>
      <c r="F13" s="30"/>
      <c r="G13" s="30"/>
      <c r="H13" s="30"/>
      <c r="I13" s="30"/>
      <c r="J13" s="30"/>
      <c r="K13" s="30"/>
      <c r="L13" s="2"/>
    </row>
    <row r="14" spans="1:12" s="10" customFormat="1" x14ac:dyDescent="0.2">
      <c r="A14" s="9" t="s">
        <v>20</v>
      </c>
      <c r="C14" s="9"/>
      <c r="D14" s="9"/>
      <c r="F14" s="9"/>
      <c r="G14" s="30"/>
      <c r="H14" s="30"/>
      <c r="I14" s="30"/>
      <c r="J14" s="30"/>
      <c r="K14" s="30"/>
      <c r="L14" s="2"/>
    </row>
    <row r="15" spans="1:12" s="10" customFormat="1" x14ac:dyDescent="0.2">
      <c r="A15" s="11" t="s">
        <v>2</v>
      </c>
      <c r="B15" s="12"/>
      <c r="C15" s="12"/>
      <c r="D15" s="85" t="s">
        <v>3</v>
      </c>
      <c r="E15" s="83"/>
      <c r="F15" s="32" t="s">
        <v>21</v>
      </c>
      <c r="G15" s="32" t="s">
        <v>21</v>
      </c>
      <c r="H15" s="33" t="s">
        <v>22</v>
      </c>
      <c r="I15" s="33" t="s">
        <v>23</v>
      </c>
      <c r="J15" s="28"/>
      <c r="K15" s="28"/>
      <c r="L15" s="2"/>
    </row>
    <row r="16" spans="1:12" s="10" customFormat="1" ht="10.5" x14ac:dyDescent="0.15">
      <c r="D16" s="24" t="s">
        <v>7</v>
      </c>
      <c r="E16" s="24" t="s">
        <v>8</v>
      </c>
      <c r="F16" s="25" t="s">
        <v>24</v>
      </c>
      <c r="G16" s="25" t="s">
        <v>24</v>
      </c>
      <c r="H16" s="24" t="s">
        <v>25</v>
      </c>
      <c r="I16" s="24" t="s">
        <v>11</v>
      </c>
      <c r="J16" s="28"/>
      <c r="K16" s="28"/>
    </row>
    <row r="17" spans="1:13" x14ac:dyDescent="0.2">
      <c r="A17" s="10"/>
      <c r="B17" s="10"/>
      <c r="C17" s="10"/>
      <c r="D17" s="23"/>
      <c r="E17" s="23"/>
      <c r="F17" s="25" t="s">
        <v>26</v>
      </c>
      <c r="G17" s="24" t="s">
        <v>27</v>
      </c>
      <c r="H17" s="25" t="s">
        <v>28</v>
      </c>
      <c r="I17" s="24" t="s">
        <v>29</v>
      </c>
      <c r="J17" s="28"/>
      <c r="K17" s="28"/>
      <c r="L17" s="10"/>
    </row>
    <row r="18" spans="1:13" s="10" customFormat="1" ht="10.5" x14ac:dyDescent="0.15">
      <c r="A18" s="20"/>
      <c r="B18" s="20"/>
      <c r="C18" s="20"/>
      <c r="D18" s="34"/>
      <c r="E18" s="34"/>
      <c r="F18" s="35" t="s">
        <v>30</v>
      </c>
      <c r="G18" s="35" t="s">
        <v>31</v>
      </c>
      <c r="H18" s="35" t="s">
        <v>32</v>
      </c>
      <c r="I18" s="35" t="s">
        <v>32</v>
      </c>
      <c r="J18" s="28"/>
      <c r="K18" s="28"/>
    </row>
    <row r="19" spans="1:13" x14ac:dyDescent="0.2">
      <c r="A19" s="10"/>
      <c r="B19" s="10"/>
      <c r="D19" s="29"/>
      <c r="E19" s="29"/>
      <c r="F19" s="30"/>
      <c r="G19" s="30"/>
      <c r="H19" s="30"/>
      <c r="I19" s="30"/>
      <c r="J19" s="30"/>
      <c r="K19" s="30"/>
      <c r="L19" s="10"/>
    </row>
    <row r="20" spans="1:13" x14ac:dyDescent="0.2">
      <c r="A20" s="61">
        <v>3</v>
      </c>
      <c r="B20" s="10" t="s">
        <v>33</v>
      </c>
      <c r="C20" s="10"/>
      <c r="D20" s="26" t="s">
        <v>104</v>
      </c>
      <c r="E20" s="26" t="s">
        <v>34</v>
      </c>
      <c r="F20" s="28">
        <v>59605266</v>
      </c>
      <c r="G20" s="28">
        <v>56316998</v>
      </c>
      <c r="H20" s="28">
        <v>116224113</v>
      </c>
      <c r="I20" s="28">
        <f>+H20-G20-F20</f>
        <v>301849</v>
      </c>
      <c r="J20" s="28"/>
      <c r="K20" s="28"/>
    </row>
    <row r="21" spans="1:13" x14ac:dyDescent="0.2">
      <c r="A21" s="10"/>
      <c r="D21" s="29"/>
      <c r="E21" s="29"/>
      <c r="F21" s="30"/>
      <c r="G21" s="30"/>
      <c r="H21" s="30"/>
      <c r="I21" s="28"/>
      <c r="J21" s="30"/>
      <c r="K21" s="30"/>
      <c r="L21" s="10"/>
    </row>
    <row r="22" spans="1:13" x14ac:dyDescent="0.2">
      <c r="D22" s="29"/>
      <c r="E22" s="29"/>
      <c r="F22" s="30"/>
      <c r="G22" s="30"/>
      <c r="H22" s="30"/>
      <c r="I22" s="30"/>
      <c r="J22" s="30"/>
      <c r="K22" s="30"/>
    </row>
    <row r="23" spans="1:13" x14ac:dyDescent="0.2">
      <c r="A23" s="8"/>
      <c r="B23" s="8"/>
      <c r="C23" s="8"/>
      <c r="D23" s="8"/>
      <c r="E23" s="8"/>
      <c r="F23" s="8"/>
      <c r="G23" s="8"/>
      <c r="H23" s="8"/>
      <c r="I23" s="8"/>
      <c r="J23" s="8"/>
      <c r="K23" s="8"/>
      <c r="L23" s="8"/>
      <c r="M23" s="8"/>
    </row>
    <row r="24" spans="1:13" x14ac:dyDescent="0.2">
      <c r="A24" s="3" t="s">
        <v>46</v>
      </c>
      <c r="B24" s="3"/>
      <c r="C24" s="7"/>
      <c r="D24" s="7"/>
      <c r="E24" s="37"/>
      <c r="F24" s="8"/>
      <c r="G24" s="8"/>
      <c r="H24" s="8"/>
      <c r="I24" s="8"/>
      <c r="J24" s="8"/>
      <c r="K24" s="8"/>
      <c r="L24" s="8"/>
      <c r="M24" s="8"/>
    </row>
    <row r="25" spans="1:13" x14ac:dyDescent="0.2">
      <c r="A25" s="6" t="s">
        <v>93</v>
      </c>
      <c r="B25" s="6"/>
      <c r="C25" s="7"/>
      <c r="D25" s="7"/>
      <c r="E25" s="8"/>
      <c r="F25" s="8"/>
      <c r="G25" s="8"/>
      <c r="H25" s="8"/>
      <c r="I25" s="8"/>
      <c r="J25" s="8"/>
      <c r="K25" s="8"/>
      <c r="L25" s="8"/>
      <c r="M25" s="8"/>
    </row>
    <row r="26" spans="1:13" x14ac:dyDescent="0.2">
      <c r="A26" s="5" t="s">
        <v>103</v>
      </c>
      <c r="B26" s="6"/>
      <c r="C26" s="7"/>
      <c r="D26" s="7"/>
      <c r="E26" s="8"/>
      <c r="F26" s="8"/>
      <c r="G26" s="8"/>
      <c r="H26" s="8"/>
      <c r="I26" s="8"/>
      <c r="J26" s="8"/>
      <c r="K26" s="8"/>
      <c r="L26" s="8"/>
      <c r="M26" s="38"/>
    </row>
    <row r="27" spans="1:13" x14ac:dyDescent="0.2">
      <c r="A27" s="11" t="s">
        <v>2</v>
      </c>
      <c r="B27" s="11"/>
      <c r="C27" s="33" t="s">
        <v>16</v>
      </c>
      <c r="D27" s="83" t="s">
        <v>3</v>
      </c>
      <c r="E27" s="83"/>
      <c r="F27" s="33" t="s">
        <v>48</v>
      </c>
      <c r="G27" s="32" t="s">
        <v>49</v>
      </c>
      <c r="H27" s="32" t="s">
        <v>50</v>
      </c>
      <c r="I27" s="33" t="s">
        <v>51</v>
      </c>
      <c r="J27" s="33" t="s">
        <v>5</v>
      </c>
      <c r="K27" s="33" t="s">
        <v>5</v>
      </c>
      <c r="L27" s="33" t="s">
        <v>5</v>
      </c>
      <c r="M27" s="33" t="s">
        <v>5</v>
      </c>
    </row>
    <row r="28" spans="1:13" x14ac:dyDescent="0.2">
      <c r="A28" s="8"/>
      <c r="B28" s="8"/>
      <c r="C28" s="25" t="s">
        <v>52</v>
      </c>
      <c r="D28" s="24" t="s">
        <v>7</v>
      </c>
      <c r="E28" s="24" t="s">
        <v>8</v>
      </c>
      <c r="F28" s="25" t="s">
        <v>53</v>
      </c>
      <c r="G28" s="25" t="s">
        <v>54</v>
      </c>
      <c r="H28" s="24" t="s">
        <v>55</v>
      </c>
      <c r="I28" s="24" t="s">
        <v>56</v>
      </c>
      <c r="J28" s="24" t="s">
        <v>57</v>
      </c>
      <c r="K28" s="24" t="s">
        <v>58</v>
      </c>
      <c r="L28" s="62" t="s">
        <v>59</v>
      </c>
      <c r="M28" s="63" t="s">
        <v>60</v>
      </c>
    </row>
    <row r="29" spans="1:13" x14ac:dyDescent="0.2">
      <c r="A29" s="38"/>
      <c r="B29" s="38"/>
      <c r="C29" s="38"/>
      <c r="D29" s="38"/>
      <c r="E29" s="38"/>
      <c r="F29" s="45" t="s">
        <v>61</v>
      </c>
      <c r="G29" s="45" t="s">
        <v>52</v>
      </c>
      <c r="H29" s="45" t="s">
        <v>61</v>
      </c>
      <c r="I29" s="35"/>
      <c r="J29" s="64"/>
      <c r="K29" s="64"/>
      <c r="L29" s="64"/>
      <c r="M29" s="64"/>
    </row>
    <row r="30" spans="1:13" x14ac:dyDescent="0.2">
      <c r="A30" s="8"/>
      <c r="B30" s="8"/>
      <c r="C30" s="8"/>
      <c r="D30" s="8"/>
      <c r="E30" s="8"/>
      <c r="F30" s="41"/>
      <c r="G30" s="25"/>
      <c r="H30" s="41"/>
      <c r="I30" s="18"/>
      <c r="J30" s="8"/>
      <c r="K30" s="8"/>
      <c r="L30" s="8"/>
      <c r="M30" s="8"/>
    </row>
    <row r="31" spans="1:13" x14ac:dyDescent="0.2">
      <c r="A31" s="3" t="s">
        <v>94</v>
      </c>
      <c r="B31" s="8"/>
      <c r="C31" s="8"/>
      <c r="D31" s="8"/>
      <c r="E31" s="8"/>
      <c r="F31" s="41"/>
      <c r="G31" s="8"/>
      <c r="H31" s="48"/>
      <c r="I31" s="18"/>
      <c r="J31" s="8"/>
      <c r="K31" s="8"/>
      <c r="L31" s="8"/>
      <c r="M31" s="8"/>
    </row>
    <row r="32" spans="1:13" x14ac:dyDescent="0.2">
      <c r="A32" s="48">
        <v>1</v>
      </c>
      <c r="B32" s="49" t="s">
        <v>62</v>
      </c>
      <c r="C32" s="8">
        <v>1726105</v>
      </c>
      <c r="D32" s="47">
        <v>0.24</v>
      </c>
      <c r="E32" s="47">
        <v>0.17</v>
      </c>
      <c r="F32" s="8">
        <v>1870562</v>
      </c>
      <c r="G32" s="8">
        <f>+J32+K32+L32+M32</f>
        <v>1910879</v>
      </c>
      <c r="H32" s="48">
        <f>G32-F32</f>
        <v>40317</v>
      </c>
      <c r="I32" s="8">
        <v>0</v>
      </c>
      <c r="J32" s="8">
        <v>0</v>
      </c>
      <c r="K32" s="8">
        <v>144457</v>
      </c>
      <c r="L32" s="8">
        <v>0</v>
      </c>
      <c r="M32" s="8">
        <v>1766422</v>
      </c>
    </row>
    <row r="33" spans="1:13" x14ac:dyDescent="0.2">
      <c r="A33" s="48">
        <v>2</v>
      </c>
      <c r="B33" s="49" t="s">
        <v>63</v>
      </c>
      <c r="C33" s="8">
        <v>1726105</v>
      </c>
      <c r="D33" s="47">
        <v>0.37</v>
      </c>
      <c r="E33" s="47">
        <v>0.28000000000000003</v>
      </c>
      <c r="F33" s="8">
        <v>1902090</v>
      </c>
      <c r="G33" s="8">
        <f t="shared" ref="G33:G57" si="0">+J33+K33+L33+M33</f>
        <v>2255176</v>
      </c>
      <c r="H33" s="48">
        <f t="shared" ref="H33:H57" si="1">G33-F33</f>
        <v>353086</v>
      </c>
      <c r="I33" s="8">
        <v>11087</v>
      </c>
      <c r="J33" s="8">
        <v>0</v>
      </c>
      <c r="K33" s="8">
        <v>175985</v>
      </c>
      <c r="L33" s="8">
        <v>0</v>
      </c>
      <c r="M33" s="8">
        <v>2079191</v>
      </c>
    </row>
    <row r="34" spans="1:13" x14ac:dyDescent="0.2">
      <c r="A34" s="48">
        <v>3</v>
      </c>
      <c r="B34" s="49" t="s">
        <v>64</v>
      </c>
      <c r="C34" s="8">
        <v>6241210</v>
      </c>
      <c r="D34" s="47">
        <v>2.14</v>
      </c>
      <c r="E34" s="47">
        <v>0.54</v>
      </c>
      <c r="F34" s="8">
        <v>25165314</v>
      </c>
      <c r="G34" s="8">
        <f t="shared" si="0"/>
        <v>31693630</v>
      </c>
      <c r="H34" s="48">
        <f t="shared" si="1"/>
        <v>6528316</v>
      </c>
      <c r="I34" s="8">
        <v>1370506</v>
      </c>
      <c r="J34" s="8">
        <v>0</v>
      </c>
      <c r="K34" s="8">
        <v>19001595</v>
      </c>
      <c r="L34" s="8">
        <v>0</v>
      </c>
      <c r="M34" s="8">
        <v>12692035</v>
      </c>
    </row>
    <row r="35" spans="1:13" x14ac:dyDescent="0.2">
      <c r="A35" s="48">
        <v>4</v>
      </c>
      <c r="B35" s="49" t="s">
        <v>65</v>
      </c>
      <c r="C35" s="8">
        <v>8550829</v>
      </c>
      <c r="D35" s="47">
        <v>6.84</v>
      </c>
      <c r="E35" s="47">
        <v>0.16</v>
      </c>
      <c r="F35" s="8">
        <v>145928129</v>
      </c>
      <c r="G35" s="8">
        <f t="shared" si="0"/>
        <v>155881714</v>
      </c>
      <c r="H35" s="48">
        <f t="shared" si="1"/>
        <v>9953585</v>
      </c>
      <c r="I35" s="8">
        <v>1024792</v>
      </c>
      <c r="J35" s="8">
        <v>129741350</v>
      </c>
      <c r="K35" s="8">
        <v>7635950</v>
      </c>
      <c r="L35" s="8">
        <v>0</v>
      </c>
      <c r="M35" s="8">
        <v>18504414</v>
      </c>
    </row>
    <row r="36" spans="1:13" x14ac:dyDescent="0.2">
      <c r="A36" s="48">
        <v>5</v>
      </c>
      <c r="B36" s="49" t="s">
        <v>67</v>
      </c>
      <c r="C36" s="8">
        <v>6476883</v>
      </c>
      <c r="D36" s="47">
        <v>4.88</v>
      </c>
      <c r="E36" s="47">
        <v>0.55000000000000004</v>
      </c>
      <c r="F36" s="8">
        <v>67118421</v>
      </c>
      <c r="G36" s="8">
        <f t="shared" si="0"/>
        <v>76854003</v>
      </c>
      <c r="H36" s="48">
        <f t="shared" si="1"/>
        <v>9735582</v>
      </c>
      <c r="I36" s="8">
        <v>288466</v>
      </c>
      <c r="J36" s="8">
        <v>34976649</v>
      </c>
      <c r="K36" s="8">
        <v>26155614</v>
      </c>
      <c r="L36" s="8">
        <v>2195</v>
      </c>
      <c r="M36" s="8">
        <v>15719545</v>
      </c>
    </row>
    <row r="37" spans="1:13" x14ac:dyDescent="0.2">
      <c r="A37" s="48">
        <v>6</v>
      </c>
      <c r="B37" s="49" t="s">
        <v>66</v>
      </c>
      <c r="C37" s="8">
        <v>100889531</v>
      </c>
      <c r="D37" s="47">
        <v>7.88</v>
      </c>
      <c r="E37" s="47">
        <v>0.56000000000000005</v>
      </c>
      <c r="F37" s="8">
        <v>1424577274</v>
      </c>
      <c r="G37" s="8">
        <f t="shared" si="0"/>
        <v>1486413963</v>
      </c>
      <c r="H37" s="48">
        <f t="shared" si="1"/>
        <v>61836689</v>
      </c>
      <c r="I37" s="8">
        <v>43887729</v>
      </c>
      <c r="J37" s="8">
        <v>1270846447</v>
      </c>
      <c r="K37" s="8">
        <v>55054822</v>
      </c>
      <c r="L37" s="8">
        <v>561543</v>
      </c>
      <c r="M37" s="8">
        <v>159951151</v>
      </c>
    </row>
    <row r="38" spans="1:13" x14ac:dyDescent="0.2">
      <c r="A38" s="48">
        <v>7</v>
      </c>
      <c r="B38" s="49" t="s">
        <v>68</v>
      </c>
      <c r="C38" s="8">
        <v>14436234</v>
      </c>
      <c r="D38" s="47">
        <v>2.64</v>
      </c>
      <c r="E38" s="47">
        <v>0.83</v>
      </c>
      <c r="F38" s="8">
        <v>45595814</v>
      </c>
      <c r="G38" s="8">
        <f t="shared" si="0"/>
        <v>52633924</v>
      </c>
      <c r="H38" s="48">
        <f t="shared" si="1"/>
        <v>7038110</v>
      </c>
      <c r="I38" s="8">
        <v>342319</v>
      </c>
      <c r="J38" s="8">
        <v>0</v>
      </c>
      <c r="K38" s="8">
        <v>31159580</v>
      </c>
      <c r="L38" s="8">
        <v>0</v>
      </c>
      <c r="M38" s="8">
        <v>21474344</v>
      </c>
    </row>
    <row r="39" spans="1:13" x14ac:dyDescent="0.2">
      <c r="A39" s="48">
        <v>8</v>
      </c>
      <c r="B39" s="49" t="s">
        <v>69</v>
      </c>
      <c r="C39" s="8">
        <v>40963543</v>
      </c>
      <c r="D39" s="47">
        <v>8.18</v>
      </c>
      <c r="E39" s="47">
        <v>0.28999999999999998</v>
      </c>
      <c r="F39" s="8">
        <v>734128225</v>
      </c>
      <c r="G39" s="8">
        <f t="shared" si="0"/>
        <v>771205190</v>
      </c>
      <c r="H39" s="48">
        <f t="shared" si="1"/>
        <v>37076965</v>
      </c>
      <c r="I39" s="8">
        <v>4082935</v>
      </c>
      <c r="J39" s="8">
        <v>593456736</v>
      </c>
      <c r="K39" s="8">
        <v>95185727</v>
      </c>
      <c r="L39" s="8">
        <v>4133872</v>
      </c>
      <c r="M39" s="8">
        <v>78428855</v>
      </c>
    </row>
    <row r="40" spans="1:13" x14ac:dyDescent="0.2">
      <c r="A40" s="48">
        <v>9</v>
      </c>
      <c r="B40" s="49" t="s">
        <v>70</v>
      </c>
      <c r="C40" s="8">
        <v>5689512</v>
      </c>
      <c r="D40" s="47">
        <v>5</v>
      </c>
      <c r="E40" s="47">
        <v>0.08</v>
      </c>
      <c r="F40" s="8">
        <v>94552976</v>
      </c>
      <c r="G40" s="8">
        <f t="shared" si="0"/>
        <v>106412464</v>
      </c>
      <c r="H40" s="48">
        <f t="shared" si="1"/>
        <v>11859488</v>
      </c>
      <c r="I40" s="8">
        <v>652480</v>
      </c>
      <c r="J40" s="8">
        <v>86120326</v>
      </c>
      <c r="K40" s="8">
        <v>2837091</v>
      </c>
      <c r="L40" s="8">
        <v>0</v>
      </c>
      <c r="M40" s="8">
        <v>17455047</v>
      </c>
    </row>
    <row r="41" spans="1:13" x14ac:dyDescent="0.2">
      <c r="A41" s="48">
        <v>10</v>
      </c>
      <c r="B41" s="49" t="s">
        <v>71</v>
      </c>
      <c r="C41" s="8">
        <v>1726105</v>
      </c>
      <c r="D41" s="47">
        <v>0.53</v>
      </c>
      <c r="E41" s="47">
        <v>0.26</v>
      </c>
      <c r="F41" s="8">
        <v>2223401</v>
      </c>
      <c r="G41" s="8">
        <f t="shared" si="0"/>
        <v>2391139</v>
      </c>
      <c r="H41" s="48">
        <f t="shared" si="1"/>
        <v>167738</v>
      </c>
      <c r="I41" s="8">
        <v>343524</v>
      </c>
      <c r="J41" s="8">
        <v>0</v>
      </c>
      <c r="K41" s="8">
        <v>497296</v>
      </c>
      <c r="L41" s="8">
        <v>0</v>
      </c>
      <c r="M41" s="8">
        <v>1893843</v>
      </c>
    </row>
    <row r="42" spans="1:13" x14ac:dyDescent="0.2">
      <c r="A42" s="48">
        <v>11</v>
      </c>
      <c r="B42" s="49" t="s">
        <v>72</v>
      </c>
      <c r="C42" s="8">
        <v>16330758</v>
      </c>
      <c r="D42" s="47">
        <v>5.58</v>
      </c>
      <c r="E42" s="47">
        <v>0.15</v>
      </c>
      <c r="F42" s="8">
        <v>302340607</v>
      </c>
      <c r="G42" s="8">
        <f t="shared" si="0"/>
        <v>338315807</v>
      </c>
      <c r="H42" s="48">
        <f t="shared" si="1"/>
        <v>35975200</v>
      </c>
      <c r="I42" s="8">
        <v>1696271</v>
      </c>
      <c r="J42" s="8">
        <v>283683663</v>
      </c>
      <c r="K42" s="8">
        <v>2326186</v>
      </c>
      <c r="L42" s="8">
        <v>0</v>
      </c>
      <c r="M42" s="8">
        <v>52305958</v>
      </c>
    </row>
    <row r="43" spans="1:13" x14ac:dyDescent="0.2">
      <c r="A43" s="48">
        <v>12</v>
      </c>
      <c r="B43" s="49" t="s">
        <v>73</v>
      </c>
      <c r="C43" s="8">
        <v>115283362</v>
      </c>
      <c r="D43" s="47">
        <v>6.51</v>
      </c>
      <c r="E43" s="47">
        <v>0.4</v>
      </c>
      <c r="F43" s="8">
        <v>1958000508</v>
      </c>
      <c r="G43" s="8">
        <f t="shared" si="0"/>
        <v>2027842095</v>
      </c>
      <c r="H43" s="48">
        <f t="shared" si="1"/>
        <v>69841587</v>
      </c>
      <c r="I43" s="8">
        <v>80034375</v>
      </c>
      <c r="J43" s="8">
        <v>1686121634</v>
      </c>
      <c r="K43" s="8">
        <v>139086556</v>
      </c>
      <c r="L43" s="8">
        <v>442521</v>
      </c>
      <c r="M43" s="8">
        <v>202191384</v>
      </c>
    </row>
    <row r="44" spans="1:13" x14ac:dyDescent="0.2">
      <c r="A44" s="48">
        <v>13</v>
      </c>
      <c r="B44" s="49" t="s">
        <v>74</v>
      </c>
      <c r="C44" s="8">
        <v>19734520</v>
      </c>
      <c r="D44" s="47">
        <v>5.2</v>
      </c>
      <c r="E44" s="47">
        <v>0.22</v>
      </c>
      <c r="F44" s="8">
        <v>351039953</v>
      </c>
      <c r="G44" s="8">
        <f t="shared" si="0"/>
        <v>392840656</v>
      </c>
      <c r="H44" s="48">
        <f t="shared" si="1"/>
        <v>41800703</v>
      </c>
      <c r="I44" s="8">
        <v>11412412</v>
      </c>
      <c r="J44" s="8">
        <v>292395182</v>
      </c>
      <c r="K44" s="8">
        <v>39672225</v>
      </c>
      <c r="L44" s="8">
        <v>413364</v>
      </c>
      <c r="M44" s="8">
        <v>60359885</v>
      </c>
    </row>
    <row r="45" spans="1:13" x14ac:dyDescent="0.2">
      <c r="A45" s="48">
        <v>14</v>
      </c>
      <c r="B45" s="49" t="s">
        <v>75</v>
      </c>
      <c r="C45" s="8">
        <v>25503399</v>
      </c>
      <c r="D45" s="47">
        <v>10.37</v>
      </c>
      <c r="E45" s="47">
        <v>0.47</v>
      </c>
      <c r="F45" s="8">
        <v>477371400</v>
      </c>
      <c r="G45" s="8">
        <f t="shared" si="0"/>
        <v>486542179</v>
      </c>
      <c r="H45" s="48">
        <f t="shared" si="1"/>
        <v>9170779</v>
      </c>
      <c r="I45" s="8">
        <v>13482695</v>
      </c>
      <c r="J45" s="8">
        <v>359989996</v>
      </c>
      <c r="K45" s="8">
        <v>90884224</v>
      </c>
      <c r="L45" s="8">
        <v>334705</v>
      </c>
      <c r="M45" s="8">
        <v>35333254</v>
      </c>
    </row>
    <row r="46" spans="1:13" x14ac:dyDescent="0.2">
      <c r="A46" s="48">
        <v>15</v>
      </c>
      <c r="B46" s="49" t="s">
        <v>76</v>
      </c>
      <c r="C46" s="8">
        <v>1726105</v>
      </c>
      <c r="D46" s="47">
        <v>0.57999999999999996</v>
      </c>
      <c r="E46" s="47">
        <v>0.04</v>
      </c>
      <c r="F46" s="8">
        <v>3285357</v>
      </c>
      <c r="G46" s="8">
        <f t="shared" si="0"/>
        <v>3726136</v>
      </c>
      <c r="H46" s="48">
        <f t="shared" si="1"/>
        <v>440779</v>
      </c>
      <c r="I46" s="8">
        <v>637315</v>
      </c>
      <c r="J46" s="8">
        <v>0</v>
      </c>
      <c r="K46" s="8">
        <v>1559252</v>
      </c>
      <c r="L46" s="8">
        <v>0</v>
      </c>
      <c r="M46" s="8">
        <v>2166884</v>
      </c>
    </row>
    <row r="47" spans="1:13" x14ac:dyDescent="0.2">
      <c r="A47" s="48">
        <v>16</v>
      </c>
      <c r="B47" s="49" t="s">
        <v>77</v>
      </c>
      <c r="C47" s="8">
        <v>100517290</v>
      </c>
      <c r="D47" s="47">
        <v>8.2899999999999991</v>
      </c>
      <c r="E47" s="47">
        <v>0.1</v>
      </c>
      <c r="F47" s="8">
        <v>1765245376</v>
      </c>
      <c r="G47" s="8">
        <f t="shared" si="0"/>
        <v>1839308682</v>
      </c>
      <c r="H47" s="48">
        <f t="shared" si="1"/>
        <v>74063306</v>
      </c>
      <c r="I47" s="8">
        <v>9868811</v>
      </c>
      <c r="J47" s="8">
        <v>1515806450</v>
      </c>
      <c r="K47" s="8">
        <v>146565075</v>
      </c>
      <c r="L47" s="8">
        <v>588580</v>
      </c>
      <c r="M47" s="8">
        <v>176348577</v>
      </c>
    </row>
    <row r="48" spans="1:13" x14ac:dyDescent="0.2">
      <c r="A48" s="48">
        <v>17</v>
      </c>
      <c r="B48" s="49" t="s">
        <v>78</v>
      </c>
      <c r="C48" s="8">
        <v>18161487</v>
      </c>
      <c r="D48" s="47">
        <v>2.98</v>
      </c>
      <c r="E48" s="47">
        <v>0.45</v>
      </c>
      <c r="F48" s="8">
        <v>169342986</v>
      </c>
      <c r="G48" s="8">
        <f t="shared" si="0"/>
        <v>187214744</v>
      </c>
      <c r="H48" s="48">
        <f t="shared" si="1"/>
        <v>17871758</v>
      </c>
      <c r="I48" s="8">
        <v>9788844</v>
      </c>
      <c r="J48" s="8">
        <v>31538511</v>
      </c>
      <c r="K48" s="8">
        <v>120853344</v>
      </c>
      <c r="L48" s="8">
        <v>0</v>
      </c>
      <c r="M48" s="8">
        <v>34822889</v>
      </c>
    </row>
    <row r="49" spans="1:13" x14ac:dyDescent="0.2">
      <c r="A49" s="48">
        <v>18</v>
      </c>
      <c r="B49" s="49" t="s">
        <v>79</v>
      </c>
      <c r="C49" s="8">
        <v>1795291</v>
      </c>
      <c r="D49" s="47">
        <v>12.15</v>
      </c>
      <c r="E49" s="47">
        <v>0.51</v>
      </c>
      <c r="F49" s="8">
        <v>31105533</v>
      </c>
      <c r="G49" s="8">
        <f t="shared" si="0"/>
        <v>31227336</v>
      </c>
      <c r="H49" s="48">
        <f t="shared" si="1"/>
        <v>121803</v>
      </c>
      <c r="I49" s="8">
        <v>1030280</v>
      </c>
      <c r="J49" s="8">
        <v>28082564</v>
      </c>
      <c r="K49" s="8">
        <v>1243183</v>
      </c>
      <c r="L49" s="8">
        <v>0</v>
      </c>
      <c r="M49" s="8">
        <v>1901589</v>
      </c>
    </row>
    <row r="50" spans="1:13" x14ac:dyDescent="0.2">
      <c r="A50" s="48">
        <v>19</v>
      </c>
      <c r="B50" s="49" t="s">
        <v>95</v>
      </c>
      <c r="C50" s="8">
        <v>82228647</v>
      </c>
      <c r="D50" s="47">
        <v>11.01</v>
      </c>
      <c r="E50" s="47">
        <v>0.23</v>
      </c>
      <c r="F50" s="8">
        <v>1385399447</v>
      </c>
      <c r="G50" s="8">
        <f t="shared" si="0"/>
        <v>1389863606</v>
      </c>
      <c r="H50" s="48">
        <f t="shared" si="1"/>
        <v>4464159</v>
      </c>
      <c r="I50" s="8">
        <v>9016349</v>
      </c>
      <c r="J50" s="8">
        <v>1218749941</v>
      </c>
      <c r="K50" s="8">
        <v>85624565</v>
      </c>
      <c r="L50" s="8">
        <v>0</v>
      </c>
      <c r="M50" s="8">
        <v>85489100</v>
      </c>
    </row>
    <row r="51" spans="1:13" x14ac:dyDescent="0.2">
      <c r="A51" s="48">
        <v>20</v>
      </c>
      <c r="B51" s="49" t="s">
        <v>81</v>
      </c>
      <c r="C51" s="8">
        <v>20020935</v>
      </c>
      <c r="D51" s="47">
        <v>11.5</v>
      </c>
      <c r="E51" s="47">
        <v>0.08</v>
      </c>
      <c r="F51" s="8">
        <v>371933615</v>
      </c>
      <c r="G51" s="8">
        <f t="shared" si="0"/>
        <v>378252867</v>
      </c>
      <c r="H51" s="48">
        <f t="shared" si="1"/>
        <v>6319252</v>
      </c>
      <c r="I51" s="8">
        <v>498616</v>
      </c>
      <c r="J51" s="8">
        <v>346477058</v>
      </c>
      <c r="K51" s="8">
        <v>5435622</v>
      </c>
      <c r="L51" s="8">
        <v>0</v>
      </c>
      <c r="M51" s="8">
        <v>26340187</v>
      </c>
    </row>
    <row r="52" spans="1:13" x14ac:dyDescent="0.2">
      <c r="A52" s="48">
        <v>21</v>
      </c>
      <c r="B52" s="49" t="s">
        <v>82</v>
      </c>
      <c r="C52" s="8">
        <v>38609904</v>
      </c>
      <c r="D52" s="47">
        <v>8.64</v>
      </c>
      <c r="E52" s="47">
        <v>0.31</v>
      </c>
      <c r="F52" s="8">
        <v>707473596</v>
      </c>
      <c r="G52" s="8">
        <f t="shared" si="0"/>
        <v>711527605</v>
      </c>
      <c r="H52" s="48">
        <f t="shared" si="1"/>
        <v>4054009</v>
      </c>
      <c r="I52" s="8">
        <v>17514121</v>
      </c>
      <c r="J52" s="8">
        <v>643992651</v>
      </c>
      <c r="K52" s="8">
        <v>28592714</v>
      </c>
      <c r="L52" s="8">
        <v>0</v>
      </c>
      <c r="M52" s="8">
        <v>38942240</v>
      </c>
    </row>
    <row r="53" spans="1:13" x14ac:dyDescent="0.2">
      <c r="A53" s="48">
        <v>22</v>
      </c>
      <c r="B53" s="49" t="s">
        <v>83</v>
      </c>
      <c r="C53" s="8">
        <v>69844893</v>
      </c>
      <c r="D53" s="47">
        <v>13.9</v>
      </c>
      <c r="E53" s="47">
        <v>0.41</v>
      </c>
      <c r="F53" s="8">
        <v>1295860672</v>
      </c>
      <c r="G53" s="8">
        <f t="shared" si="0"/>
        <v>1312068067</v>
      </c>
      <c r="H53" s="48">
        <f t="shared" si="1"/>
        <v>16207395</v>
      </c>
      <c r="I53" s="8">
        <v>6951450</v>
      </c>
      <c r="J53" s="8">
        <v>1204697832</v>
      </c>
      <c r="K53" s="8">
        <f>907359+13334894+2935430+4242023</f>
        <v>21419706</v>
      </c>
      <c r="L53" s="8">
        <v>0</v>
      </c>
      <c r="M53" s="8">
        <v>85950529</v>
      </c>
    </row>
    <row r="54" spans="1:13" x14ac:dyDescent="0.2">
      <c r="A54" s="48">
        <v>23</v>
      </c>
      <c r="B54" s="49" t="s">
        <v>84</v>
      </c>
      <c r="C54" s="48">
        <v>14916995</v>
      </c>
      <c r="D54" s="50">
        <v>7.03</v>
      </c>
      <c r="E54" s="50">
        <v>0.27</v>
      </c>
      <c r="F54" s="48">
        <v>273344280</v>
      </c>
      <c r="G54" s="8">
        <f t="shared" si="0"/>
        <v>275620003</v>
      </c>
      <c r="H54" s="48">
        <f t="shared" si="1"/>
        <v>2275723</v>
      </c>
      <c r="I54" s="48">
        <v>21286880</v>
      </c>
      <c r="J54" s="48">
        <v>255555724</v>
      </c>
      <c r="K54" s="48">
        <v>2909299</v>
      </c>
      <c r="L54" s="48">
        <v>1630</v>
      </c>
      <c r="M54" s="48">
        <v>17153350</v>
      </c>
    </row>
    <row r="55" spans="1:13" x14ac:dyDescent="0.2">
      <c r="A55" s="48">
        <v>24</v>
      </c>
      <c r="B55" s="49" t="s">
        <v>85</v>
      </c>
      <c r="C55" s="8">
        <v>12433354</v>
      </c>
      <c r="D55" s="47">
        <v>0.8</v>
      </c>
      <c r="E55" s="47">
        <v>0.2</v>
      </c>
      <c r="F55" s="8">
        <v>51281893</v>
      </c>
      <c r="G55" s="8">
        <f t="shared" si="0"/>
        <v>62970044</v>
      </c>
      <c r="H55" s="48">
        <f t="shared" si="1"/>
        <v>11688151</v>
      </c>
      <c r="I55" s="8">
        <v>28213478</v>
      </c>
      <c r="J55" s="8">
        <v>0</v>
      </c>
      <c r="K55" s="8">
        <v>39054810</v>
      </c>
      <c r="L55" s="8">
        <v>50060</v>
      </c>
      <c r="M55" s="8">
        <v>23865174</v>
      </c>
    </row>
    <row r="56" spans="1:13" x14ac:dyDescent="0.2">
      <c r="A56" s="48">
        <v>25</v>
      </c>
      <c r="B56" s="49" t="s">
        <v>96</v>
      </c>
      <c r="C56" s="48">
        <v>35176142</v>
      </c>
      <c r="D56" s="50">
        <v>7.42</v>
      </c>
      <c r="E56" s="50">
        <v>0.13</v>
      </c>
      <c r="F56" s="48">
        <v>603323804</v>
      </c>
      <c r="G56" s="8">
        <f t="shared" si="0"/>
        <v>613051206</v>
      </c>
      <c r="H56" s="48">
        <f t="shared" si="1"/>
        <v>9727402</v>
      </c>
      <c r="I56" s="48">
        <v>13823124</v>
      </c>
      <c r="J56" s="48">
        <v>495685014</v>
      </c>
      <c r="K56" s="48">
        <v>74605136</v>
      </c>
      <c r="L56" s="48">
        <v>156780</v>
      </c>
      <c r="M56" s="48">
        <v>42604276</v>
      </c>
    </row>
    <row r="57" spans="1:13" x14ac:dyDescent="0.2">
      <c r="A57" s="48">
        <v>26</v>
      </c>
      <c r="B57" s="49" t="s">
        <v>88</v>
      </c>
      <c r="C57" s="8">
        <v>52307572</v>
      </c>
      <c r="D57" s="47">
        <v>8.11</v>
      </c>
      <c r="E57" s="47">
        <v>0.09</v>
      </c>
      <c r="F57" s="8">
        <v>966832846</v>
      </c>
      <c r="G57" s="8">
        <f t="shared" si="0"/>
        <v>999862610</v>
      </c>
      <c r="H57" s="48">
        <f t="shared" si="1"/>
        <v>33029764</v>
      </c>
      <c r="I57" s="8">
        <v>18125146</v>
      </c>
      <c r="J57" s="8">
        <v>879611500</v>
      </c>
      <c r="K57" s="8">
        <v>35083185</v>
      </c>
      <c r="L57" s="8">
        <v>0</v>
      </c>
      <c r="M57" s="8">
        <v>85167925</v>
      </c>
    </row>
    <row r="58" spans="1:13" x14ac:dyDescent="0.2">
      <c r="A58" s="65" t="s">
        <v>97</v>
      </c>
      <c r="B58" s="13"/>
      <c r="C58" s="51">
        <f>SUM(C32:C57)</f>
        <v>813016711</v>
      </c>
      <c r="D58" s="52"/>
      <c r="E58" s="52"/>
      <c r="F58" s="51">
        <f t="shared" ref="F58:M58" si="2">SUM(F32:F57)</f>
        <v>13256244079</v>
      </c>
      <c r="G58" s="51">
        <f t="shared" si="2"/>
        <v>13737885725</v>
      </c>
      <c r="H58" s="51">
        <f t="shared" si="2"/>
        <v>481641646</v>
      </c>
      <c r="I58" s="51">
        <f t="shared" si="2"/>
        <v>295384005</v>
      </c>
      <c r="J58" s="51">
        <f t="shared" si="2"/>
        <v>11357529228</v>
      </c>
      <c r="K58" s="51">
        <f t="shared" si="2"/>
        <v>1072763199</v>
      </c>
      <c r="L58" s="51">
        <f t="shared" si="2"/>
        <v>6685250</v>
      </c>
      <c r="M58" s="51">
        <f t="shared" si="2"/>
        <v>1300908048</v>
      </c>
    </row>
    <row r="59" spans="1:13" x14ac:dyDescent="0.2">
      <c r="A59" s="66"/>
      <c r="B59" s="66"/>
      <c r="C59" s="8"/>
      <c r="D59" s="47"/>
      <c r="E59" s="47"/>
      <c r="F59" s="8"/>
      <c r="G59" s="8"/>
      <c r="H59" s="8"/>
      <c r="I59" s="8"/>
      <c r="J59" s="8"/>
      <c r="K59" s="8"/>
      <c r="L59" s="8"/>
      <c r="M59" s="8"/>
    </row>
    <row r="60" spans="1:13" x14ac:dyDescent="0.2">
      <c r="A60" s="3" t="s">
        <v>98</v>
      </c>
      <c r="B60" s="53"/>
      <c r="C60" s="8"/>
      <c r="D60" s="47"/>
      <c r="E60" s="47"/>
      <c r="F60" s="8"/>
      <c r="G60" s="48"/>
      <c r="H60" s="48"/>
      <c r="I60" s="8"/>
      <c r="J60" s="8"/>
      <c r="K60" s="8"/>
      <c r="L60" s="8"/>
      <c r="M60" s="54"/>
    </row>
    <row r="61" spans="1:13" x14ac:dyDescent="0.2">
      <c r="A61" s="48">
        <v>1</v>
      </c>
      <c r="B61" s="49" t="s">
        <v>90</v>
      </c>
      <c r="C61" s="8">
        <v>2301473</v>
      </c>
      <c r="D61" s="47">
        <v>1.54</v>
      </c>
      <c r="E61" s="47">
        <v>0.04</v>
      </c>
      <c r="F61" s="8">
        <v>35308480</v>
      </c>
      <c r="G61" s="48">
        <f>+J61+K61+L61+M61</f>
        <v>44334891</v>
      </c>
      <c r="H61" s="48">
        <f>G61-F61</f>
        <v>9026411</v>
      </c>
      <c r="I61" s="8">
        <v>11080089</v>
      </c>
      <c r="J61" s="8">
        <v>32953306</v>
      </c>
      <c r="K61" s="8">
        <v>53701</v>
      </c>
      <c r="L61" s="8">
        <v>0</v>
      </c>
      <c r="M61" s="8">
        <v>11327884</v>
      </c>
    </row>
    <row r="62" spans="1:13" x14ac:dyDescent="0.2">
      <c r="A62" s="48"/>
      <c r="B62" s="49"/>
      <c r="C62" s="8"/>
      <c r="D62" s="47"/>
      <c r="E62" s="47"/>
      <c r="F62" s="8"/>
      <c r="G62" s="48"/>
      <c r="H62" s="48"/>
      <c r="I62" s="8"/>
      <c r="J62" s="8"/>
      <c r="K62" s="8"/>
      <c r="L62" s="8"/>
      <c r="M62" s="8"/>
    </row>
    <row r="63" spans="1:13" x14ac:dyDescent="0.2">
      <c r="A63" s="65" t="s">
        <v>99</v>
      </c>
      <c r="B63" s="55"/>
      <c r="C63" s="51">
        <f>SUM(C61)</f>
        <v>2301473</v>
      </c>
      <c r="D63" s="52"/>
      <c r="E63" s="52"/>
      <c r="F63" s="51">
        <f t="shared" ref="F63:M63" si="3">SUM(F61)</f>
        <v>35308480</v>
      </c>
      <c r="G63" s="51">
        <f t="shared" si="3"/>
        <v>44334891</v>
      </c>
      <c r="H63" s="51">
        <f t="shared" si="3"/>
        <v>9026411</v>
      </c>
      <c r="I63" s="51">
        <f t="shared" si="3"/>
        <v>11080089</v>
      </c>
      <c r="J63" s="51">
        <f t="shared" si="3"/>
        <v>32953306</v>
      </c>
      <c r="K63" s="51">
        <f t="shared" si="3"/>
        <v>53701</v>
      </c>
      <c r="L63" s="51">
        <f t="shared" si="3"/>
        <v>0</v>
      </c>
      <c r="M63" s="51">
        <f t="shared" si="3"/>
        <v>11327884</v>
      </c>
    </row>
    <row r="64" spans="1:13" ht="13.5" thickBot="1" x14ac:dyDescent="0.25">
      <c r="A64" s="8"/>
      <c r="B64" s="8"/>
      <c r="C64" s="8"/>
      <c r="D64" s="47"/>
      <c r="E64" s="47"/>
      <c r="F64" s="8"/>
      <c r="G64" s="8"/>
      <c r="H64" s="8"/>
      <c r="I64" s="48"/>
      <c r="J64" s="48"/>
      <c r="K64" s="48"/>
      <c r="L64" s="8"/>
      <c r="M64" s="54"/>
    </row>
    <row r="65" spans="1:13" ht="13.5" thickBot="1" x14ac:dyDescent="0.25">
      <c r="A65" s="67" t="s">
        <v>100</v>
      </c>
      <c r="B65" s="68"/>
      <c r="C65" s="69">
        <f>C58+C63</f>
        <v>815318184</v>
      </c>
      <c r="D65" s="70"/>
      <c r="E65" s="70"/>
      <c r="F65" s="69">
        <f t="shared" ref="F65:M65" si="4">F58+F63</f>
        <v>13291552559</v>
      </c>
      <c r="G65" s="69">
        <f t="shared" si="4"/>
        <v>13782220616</v>
      </c>
      <c r="H65" s="69">
        <f t="shared" si="4"/>
        <v>490668057</v>
      </c>
      <c r="I65" s="69">
        <f t="shared" si="4"/>
        <v>306464094</v>
      </c>
      <c r="J65" s="71">
        <f t="shared" si="4"/>
        <v>11390482534</v>
      </c>
      <c r="K65" s="71">
        <f t="shared" si="4"/>
        <v>1072816900</v>
      </c>
      <c r="L65" s="69">
        <f t="shared" si="4"/>
        <v>6685250</v>
      </c>
      <c r="M65" s="69">
        <f t="shared" si="4"/>
        <v>1312235932</v>
      </c>
    </row>
    <row r="66" spans="1:13" x14ac:dyDescent="0.2">
      <c r="A66" s="8"/>
      <c r="B66" s="8"/>
      <c r="C66" s="8"/>
      <c r="D66" s="8"/>
      <c r="E66" s="8"/>
      <c r="F66" s="8"/>
      <c r="G66" s="8"/>
      <c r="H66" s="8"/>
      <c r="I66" s="8"/>
      <c r="J66" s="8"/>
      <c r="K66" s="8"/>
      <c r="L66" s="8"/>
      <c r="M66" s="8"/>
    </row>
    <row r="67" spans="1:13" x14ac:dyDescent="0.2">
      <c r="A67" s="72" t="s">
        <v>101</v>
      </c>
      <c r="B67" s="54" t="s">
        <v>102</v>
      </c>
      <c r="C67" s="8"/>
      <c r="D67" s="8"/>
      <c r="E67" s="8"/>
      <c r="F67" s="8"/>
      <c r="G67" s="8"/>
      <c r="H67" s="8"/>
      <c r="I67" s="8"/>
      <c r="J67" s="8"/>
      <c r="K67" s="8"/>
      <c r="L67" s="8"/>
      <c r="M67" s="60"/>
    </row>
    <row r="68" spans="1:13" x14ac:dyDescent="0.2">
      <c r="A68" s="73"/>
      <c r="B68" s="8"/>
      <c r="C68" s="8"/>
      <c r="D68" s="8"/>
      <c r="E68" s="8"/>
      <c r="F68" s="8"/>
      <c r="G68" s="8"/>
      <c r="H68" s="8"/>
      <c r="I68" s="8"/>
      <c r="J68" s="8"/>
      <c r="K68" s="8"/>
      <c r="L68" s="8"/>
      <c r="M68" s="8"/>
    </row>
  </sheetData>
  <mergeCells count="3">
    <mergeCell ref="D6:E6"/>
    <mergeCell ref="D15:E15"/>
    <mergeCell ref="D27:E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heetViews>
  <sheetFormatPr baseColWidth="10" defaultRowHeight="15" x14ac:dyDescent="0.25"/>
  <cols>
    <col min="6" max="7" width="15.5703125" bestFit="1" customWidth="1"/>
    <col min="8" max="8" width="18.28515625" bestFit="1" customWidth="1"/>
    <col min="9" max="9" width="17" bestFit="1" customWidth="1"/>
    <col min="10" max="10" width="13.28515625" bestFit="1" customWidth="1"/>
    <col min="11" max="11" width="14" bestFit="1" customWidth="1"/>
    <col min="13" max="13" width="12.28515625" bestFit="1" customWidth="1"/>
  </cols>
  <sheetData>
    <row r="1" spans="1:12" x14ac:dyDescent="0.25">
      <c r="A1" s="79" t="s">
        <v>46</v>
      </c>
    </row>
    <row r="2" spans="1:12" x14ac:dyDescent="0.25">
      <c r="A2" s="3" t="s">
        <v>0</v>
      </c>
      <c r="B2" s="4"/>
      <c r="C2" s="2"/>
      <c r="D2" s="2"/>
      <c r="E2" s="2"/>
      <c r="F2" s="2"/>
      <c r="G2" s="2"/>
      <c r="H2" s="2"/>
      <c r="I2" s="2"/>
      <c r="J2" s="2"/>
      <c r="K2" s="2"/>
      <c r="L2" s="2"/>
    </row>
    <row r="3" spans="1:12" x14ac:dyDescent="0.25">
      <c r="A3" s="5" t="s">
        <v>105</v>
      </c>
      <c r="B3" s="6"/>
      <c r="C3" s="7"/>
      <c r="D3" s="7"/>
      <c r="E3" s="8"/>
      <c r="F3" s="2"/>
      <c r="G3" s="2"/>
      <c r="H3" s="2"/>
      <c r="I3" s="2"/>
      <c r="J3" s="2"/>
      <c r="K3" s="2"/>
      <c r="L3" s="2"/>
    </row>
    <row r="4" spans="1:12" x14ac:dyDescent="0.25">
      <c r="A4" s="2"/>
      <c r="B4" s="2"/>
      <c r="C4" s="2"/>
      <c r="D4" s="2"/>
      <c r="E4" s="2"/>
      <c r="F4" s="2"/>
      <c r="G4" s="2"/>
      <c r="H4" s="2"/>
      <c r="I4" s="2"/>
      <c r="J4" s="2"/>
      <c r="K4" s="2"/>
      <c r="L4" s="2"/>
    </row>
    <row r="5" spans="1:12" x14ac:dyDescent="0.25">
      <c r="A5" s="9" t="s">
        <v>1</v>
      </c>
      <c r="B5" s="10"/>
      <c r="C5" s="9"/>
      <c r="D5" s="10"/>
      <c r="E5" s="2"/>
      <c r="F5" s="2"/>
      <c r="G5" s="2"/>
      <c r="H5" s="2"/>
      <c r="I5" s="2"/>
      <c r="J5" s="2"/>
      <c r="K5" s="2"/>
      <c r="L5" s="2"/>
    </row>
    <row r="6" spans="1:12" x14ac:dyDescent="0.25">
      <c r="A6" s="11" t="s">
        <v>2</v>
      </c>
      <c r="B6" s="12"/>
      <c r="C6" s="12"/>
      <c r="D6" s="85" t="s">
        <v>3</v>
      </c>
      <c r="E6" s="83"/>
      <c r="F6" s="15" t="s">
        <v>4</v>
      </c>
      <c r="G6" s="15" t="s">
        <v>5</v>
      </c>
      <c r="H6" s="16" t="s">
        <v>6</v>
      </c>
      <c r="I6" s="15" t="s">
        <v>4</v>
      </c>
      <c r="J6" s="15" t="s">
        <v>5</v>
      </c>
      <c r="K6" s="16" t="s">
        <v>6</v>
      </c>
      <c r="L6" s="17"/>
    </row>
    <row r="7" spans="1:12" x14ac:dyDescent="0.25">
      <c r="A7" s="10"/>
      <c r="B7" s="10"/>
      <c r="C7" s="10"/>
      <c r="D7" s="24" t="s">
        <v>7</v>
      </c>
      <c r="E7" s="24" t="s">
        <v>8</v>
      </c>
      <c r="F7" s="19" t="s">
        <v>9</v>
      </c>
      <c r="G7" s="19" t="s">
        <v>10</v>
      </c>
      <c r="H7" s="19" t="s">
        <v>11</v>
      </c>
      <c r="I7" s="19" t="s">
        <v>12</v>
      </c>
      <c r="J7" s="19" t="s">
        <v>10</v>
      </c>
      <c r="K7" s="19" t="s">
        <v>11</v>
      </c>
      <c r="L7" s="2"/>
    </row>
    <row r="8" spans="1:12" x14ac:dyDescent="0.25">
      <c r="A8" s="20"/>
      <c r="B8" s="20"/>
      <c r="C8" s="20"/>
      <c r="D8" s="20"/>
      <c r="E8" s="20"/>
      <c r="F8" s="21" t="s">
        <v>13</v>
      </c>
      <c r="G8" s="21" t="s">
        <v>14</v>
      </c>
      <c r="H8" s="21" t="s">
        <v>15</v>
      </c>
      <c r="I8" s="21" t="s">
        <v>16</v>
      </c>
      <c r="J8" s="22" t="s">
        <v>17</v>
      </c>
      <c r="K8" s="22" t="s">
        <v>17</v>
      </c>
      <c r="L8" s="2"/>
    </row>
    <row r="9" spans="1:12" x14ac:dyDescent="0.25">
      <c r="A9" s="10"/>
      <c r="B9" s="10"/>
      <c r="C9" s="10"/>
      <c r="D9" s="23"/>
      <c r="E9" s="23"/>
      <c r="F9" s="24"/>
      <c r="G9" s="24"/>
      <c r="H9" s="24"/>
      <c r="I9" s="24"/>
      <c r="J9" s="25"/>
      <c r="K9" s="25"/>
      <c r="L9" s="2"/>
    </row>
    <row r="10" spans="1:12" x14ac:dyDescent="0.25">
      <c r="A10" s="61">
        <v>1</v>
      </c>
      <c r="B10" s="9" t="s">
        <v>18</v>
      </c>
      <c r="C10" s="10"/>
      <c r="D10" s="26">
        <v>1.1000000000000001</v>
      </c>
      <c r="E10" s="27">
        <v>0.02</v>
      </c>
      <c r="F10" s="28">
        <v>69532852</v>
      </c>
      <c r="G10" s="28">
        <v>69532852</v>
      </c>
      <c r="H10" s="28">
        <f>G10-F10</f>
        <v>0</v>
      </c>
      <c r="I10" s="28">
        <v>64070226</v>
      </c>
      <c r="J10" s="28">
        <v>65148497</v>
      </c>
      <c r="K10" s="28">
        <f>J10-I10</f>
        <v>1078271</v>
      </c>
      <c r="L10" s="2"/>
    </row>
    <row r="11" spans="1:12" x14ac:dyDescent="0.25">
      <c r="A11" s="61">
        <v>2</v>
      </c>
      <c r="B11" s="9" t="s">
        <v>19</v>
      </c>
      <c r="C11" s="10"/>
      <c r="D11" s="26">
        <v>0.43</v>
      </c>
      <c r="E11" s="26">
        <v>0.01</v>
      </c>
      <c r="F11" s="28">
        <v>19325832</v>
      </c>
      <c r="G11" s="28">
        <v>19325832</v>
      </c>
      <c r="H11" s="28">
        <f>G11-F11</f>
        <v>0</v>
      </c>
      <c r="I11" s="28">
        <v>46181319</v>
      </c>
      <c r="J11" s="28">
        <v>46632045</v>
      </c>
      <c r="K11" s="28">
        <f>J11-I11</f>
        <v>450726</v>
      </c>
      <c r="L11" s="2"/>
    </row>
    <row r="12" spans="1:12" x14ac:dyDescent="0.25">
      <c r="A12" s="10"/>
      <c r="B12" s="10"/>
      <c r="C12" s="10"/>
      <c r="D12" s="23"/>
      <c r="E12" s="23"/>
      <c r="F12" s="28"/>
      <c r="G12" s="28"/>
      <c r="H12" s="28"/>
      <c r="I12" s="28"/>
      <c r="J12" s="28"/>
      <c r="K12" s="28"/>
      <c r="L12" s="2"/>
    </row>
    <row r="13" spans="1:12" x14ac:dyDescent="0.25">
      <c r="A13" s="2"/>
      <c r="B13" s="2"/>
      <c r="C13" s="2"/>
      <c r="D13" s="29"/>
      <c r="E13" s="29"/>
      <c r="F13" s="30"/>
      <c r="G13" s="30"/>
      <c r="H13" s="30"/>
      <c r="I13" s="30"/>
      <c r="J13" s="30"/>
      <c r="K13" s="30"/>
      <c r="L13" s="2"/>
    </row>
    <row r="14" spans="1:12" x14ac:dyDescent="0.25">
      <c r="A14" s="9" t="s">
        <v>20</v>
      </c>
      <c r="B14" s="10"/>
      <c r="C14" s="9"/>
      <c r="D14" s="9"/>
      <c r="E14" s="10"/>
      <c r="F14" s="9"/>
      <c r="G14" s="30"/>
      <c r="H14" s="30"/>
      <c r="I14" s="30"/>
      <c r="J14" s="30"/>
      <c r="K14" s="30"/>
      <c r="L14" s="2"/>
    </row>
    <row r="15" spans="1:12" x14ac:dyDescent="0.25">
      <c r="A15" s="11" t="s">
        <v>2</v>
      </c>
      <c r="B15" s="12"/>
      <c r="C15" s="12"/>
      <c r="D15" s="85" t="s">
        <v>3</v>
      </c>
      <c r="E15" s="83"/>
      <c r="F15" s="32" t="s">
        <v>21</v>
      </c>
      <c r="G15" s="32" t="s">
        <v>21</v>
      </c>
      <c r="H15" s="33" t="s">
        <v>22</v>
      </c>
      <c r="I15" s="33" t="s">
        <v>23</v>
      </c>
      <c r="J15" s="28"/>
      <c r="K15" s="28"/>
      <c r="L15" s="2"/>
    </row>
    <row r="16" spans="1:12" x14ac:dyDescent="0.25">
      <c r="A16" s="10"/>
      <c r="B16" s="10"/>
      <c r="C16" s="10"/>
      <c r="D16" s="24" t="s">
        <v>7</v>
      </c>
      <c r="E16" s="24" t="s">
        <v>8</v>
      </c>
      <c r="F16" s="25" t="s">
        <v>24</v>
      </c>
      <c r="G16" s="25" t="s">
        <v>24</v>
      </c>
      <c r="H16" s="24" t="s">
        <v>25</v>
      </c>
      <c r="I16" s="24" t="s">
        <v>11</v>
      </c>
      <c r="J16" s="28"/>
      <c r="K16" s="28"/>
      <c r="L16" s="10"/>
    </row>
    <row r="17" spans="1:14" x14ac:dyDescent="0.25">
      <c r="A17" s="10"/>
      <c r="B17" s="10"/>
      <c r="C17" s="10"/>
      <c r="D17" s="23"/>
      <c r="E17" s="23"/>
      <c r="F17" s="25" t="s">
        <v>26</v>
      </c>
      <c r="G17" s="24" t="s">
        <v>27</v>
      </c>
      <c r="H17" s="25" t="s">
        <v>28</v>
      </c>
      <c r="I17" s="24" t="s">
        <v>29</v>
      </c>
      <c r="J17" s="28"/>
      <c r="K17" s="28"/>
      <c r="L17" s="10"/>
    </row>
    <row r="18" spans="1:14" x14ac:dyDescent="0.25">
      <c r="A18" s="20"/>
      <c r="B18" s="20"/>
      <c r="C18" s="20"/>
      <c r="D18" s="34"/>
      <c r="E18" s="34"/>
      <c r="F18" s="35" t="s">
        <v>30</v>
      </c>
      <c r="G18" s="35" t="s">
        <v>31</v>
      </c>
      <c r="H18" s="35" t="s">
        <v>32</v>
      </c>
      <c r="I18" s="35" t="s">
        <v>32</v>
      </c>
      <c r="J18" s="28"/>
      <c r="K18" s="28"/>
      <c r="L18" s="10"/>
    </row>
    <row r="19" spans="1:14" x14ac:dyDescent="0.25">
      <c r="A19" s="10"/>
      <c r="B19" s="10"/>
      <c r="C19" s="2"/>
      <c r="D19" s="29"/>
      <c r="E19" s="29"/>
      <c r="F19" s="30"/>
      <c r="G19" s="30"/>
      <c r="H19" s="30"/>
      <c r="I19" s="30"/>
      <c r="J19" s="30"/>
      <c r="K19" s="30"/>
      <c r="L19" s="10"/>
    </row>
    <row r="20" spans="1:14" x14ac:dyDescent="0.25">
      <c r="A20" s="61">
        <v>3</v>
      </c>
      <c r="B20" s="10" t="s">
        <v>33</v>
      </c>
      <c r="C20" s="10"/>
      <c r="D20" s="26">
        <v>1.1299999999999999</v>
      </c>
      <c r="E20" s="26">
        <v>0.01</v>
      </c>
      <c r="F20" s="28">
        <v>59838079</v>
      </c>
      <c r="G20" s="28">
        <v>59500214</v>
      </c>
      <c r="H20" s="28">
        <v>119715218</v>
      </c>
      <c r="I20" s="28">
        <f>+H20-G20-F20</f>
        <v>376925</v>
      </c>
      <c r="J20" s="28"/>
      <c r="K20" s="28"/>
      <c r="L20" s="2"/>
    </row>
    <row r="21" spans="1:14" x14ac:dyDescent="0.25">
      <c r="A21" s="10"/>
      <c r="B21" s="2"/>
      <c r="C21" s="2"/>
      <c r="D21" s="29"/>
      <c r="E21" s="29"/>
      <c r="F21" s="30"/>
      <c r="G21" s="30"/>
      <c r="H21" s="30"/>
      <c r="I21" s="28"/>
      <c r="J21" s="30"/>
      <c r="K21" s="30"/>
      <c r="L21" s="10"/>
    </row>
    <row r="22" spans="1:14" x14ac:dyDescent="0.25">
      <c r="A22" s="2"/>
      <c r="B22" s="2"/>
      <c r="C22" s="2"/>
      <c r="D22" s="29"/>
      <c r="E22" s="29"/>
      <c r="F22" s="30"/>
      <c r="G22" s="30"/>
      <c r="H22" s="30"/>
      <c r="I22" s="30"/>
      <c r="J22" s="30"/>
      <c r="K22" s="30"/>
      <c r="L22" s="2"/>
    </row>
    <row r="23" spans="1:14" x14ac:dyDescent="0.25">
      <c r="A23" s="36"/>
      <c r="B23" s="36"/>
      <c r="C23" s="36"/>
      <c r="D23" s="36"/>
      <c r="E23" s="36"/>
      <c r="F23" s="36"/>
      <c r="G23" s="36"/>
      <c r="H23" s="36"/>
      <c r="I23" s="36"/>
      <c r="J23" s="36"/>
      <c r="K23" s="36"/>
      <c r="L23" s="2"/>
    </row>
    <row r="24" spans="1:14" x14ac:dyDescent="0.25">
      <c r="A24" s="3" t="s">
        <v>46</v>
      </c>
      <c r="B24" s="3"/>
      <c r="C24" s="7"/>
      <c r="D24" s="7"/>
      <c r="E24" s="37"/>
      <c r="F24" s="8"/>
      <c r="G24" s="8"/>
      <c r="H24" s="8"/>
      <c r="I24" s="8"/>
      <c r="J24" s="8"/>
      <c r="K24" s="8"/>
      <c r="L24" s="8"/>
      <c r="M24" s="8"/>
      <c r="N24" s="8"/>
    </row>
    <row r="25" spans="1:14" x14ac:dyDescent="0.25">
      <c r="A25" s="6" t="s">
        <v>93</v>
      </c>
      <c r="B25" s="6"/>
      <c r="C25" s="7"/>
      <c r="D25" s="7"/>
      <c r="E25" s="8"/>
      <c r="F25" s="8"/>
      <c r="G25" s="8"/>
      <c r="H25" s="8"/>
      <c r="I25" s="8"/>
      <c r="J25" s="8"/>
      <c r="K25" s="8"/>
      <c r="L25" s="8"/>
      <c r="M25" s="8"/>
      <c r="N25" s="8"/>
    </row>
    <row r="26" spans="1:14" x14ac:dyDescent="0.25">
      <c r="A26" s="5" t="s">
        <v>105</v>
      </c>
      <c r="B26" s="6"/>
      <c r="C26" s="7"/>
      <c r="D26" s="7"/>
      <c r="E26" s="8"/>
      <c r="F26" s="8"/>
      <c r="G26" s="8"/>
      <c r="H26" s="8"/>
      <c r="I26" s="8"/>
      <c r="J26" s="8"/>
      <c r="K26" s="8"/>
      <c r="L26" s="8"/>
      <c r="M26" s="38"/>
      <c r="N26" s="8"/>
    </row>
    <row r="27" spans="1:14" x14ac:dyDescent="0.25">
      <c r="A27" s="11" t="s">
        <v>2</v>
      </c>
      <c r="B27" s="11"/>
      <c r="C27" s="33" t="s">
        <v>16</v>
      </c>
      <c r="D27" s="83" t="s">
        <v>3</v>
      </c>
      <c r="E27" s="83"/>
      <c r="F27" s="33" t="s">
        <v>48</v>
      </c>
      <c r="G27" s="32" t="s">
        <v>49</v>
      </c>
      <c r="H27" s="32" t="s">
        <v>50</v>
      </c>
      <c r="I27" s="33" t="s">
        <v>51</v>
      </c>
      <c r="J27" s="33" t="s">
        <v>5</v>
      </c>
      <c r="K27" s="33" t="s">
        <v>5</v>
      </c>
      <c r="L27" s="33" t="s">
        <v>5</v>
      </c>
      <c r="M27" s="33" t="s">
        <v>5</v>
      </c>
      <c r="N27" s="37"/>
    </row>
    <row r="28" spans="1:14" x14ac:dyDescent="0.25">
      <c r="A28" s="8"/>
      <c r="B28" s="8"/>
      <c r="C28" s="25" t="s">
        <v>52</v>
      </c>
      <c r="D28" s="24" t="s">
        <v>7</v>
      </c>
      <c r="E28" s="24" t="s">
        <v>8</v>
      </c>
      <c r="F28" s="25" t="s">
        <v>53</v>
      </c>
      <c r="G28" s="25" t="s">
        <v>54</v>
      </c>
      <c r="H28" s="24" t="s">
        <v>55</v>
      </c>
      <c r="I28" s="24" t="s">
        <v>56</v>
      </c>
      <c r="J28" s="24" t="s">
        <v>57</v>
      </c>
      <c r="K28" s="24" t="s">
        <v>58</v>
      </c>
      <c r="L28" s="62" t="s">
        <v>59</v>
      </c>
      <c r="M28" s="63" t="s">
        <v>60</v>
      </c>
      <c r="N28" s="37"/>
    </row>
    <row r="29" spans="1:14" x14ac:dyDescent="0.25">
      <c r="A29" s="38"/>
      <c r="B29" s="38"/>
      <c r="C29" s="38"/>
      <c r="D29" s="38"/>
      <c r="E29" s="38"/>
      <c r="F29" s="45" t="s">
        <v>61</v>
      </c>
      <c r="G29" s="45" t="s">
        <v>52</v>
      </c>
      <c r="H29" s="45" t="s">
        <v>61</v>
      </c>
      <c r="I29" s="35"/>
      <c r="J29" s="64"/>
      <c r="K29" s="64"/>
      <c r="L29" s="64"/>
      <c r="M29" s="64"/>
      <c r="N29" s="8"/>
    </row>
    <row r="30" spans="1:14" x14ac:dyDescent="0.25">
      <c r="A30" s="8"/>
      <c r="B30" s="8"/>
      <c r="C30" s="8"/>
      <c r="D30" s="8"/>
      <c r="E30" s="8"/>
      <c r="F30" s="41"/>
      <c r="G30" s="25"/>
      <c r="H30" s="41"/>
      <c r="I30" s="18"/>
      <c r="J30" s="8"/>
      <c r="K30" s="8"/>
      <c r="L30" s="8"/>
      <c r="M30" s="8"/>
      <c r="N30" s="8"/>
    </row>
    <row r="31" spans="1:14" x14ac:dyDescent="0.25">
      <c r="A31" s="3" t="s">
        <v>94</v>
      </c>
      <c r="B31" s="8"/>
      <c r="C31" s="8"/>
      <c r="D31" s="8"/>
      <c r="E31" s="8"/>
      <c r="F31" s="41"/>
      <c r="G31" s="8"/>
      <c r="H31" s="48"/>
      <c r="I31" s="18"/>
      <c r="J31" s="8"/>
      <c r="K31" s="8"/>
      <c r="L31" s="8"/>
      <c r="M31" s="8"/>
      <c r="N31" s="8"/>
    </row>
    <row r="32" spans="1:14" x14ac:dyDescent="0.25">
      <c r="A32" s="48">
        <v>1</v>
      </c>
      <c r="B32" s="74" t="s">
        <v>106</v>
      </c>
      <c r="C32" s="8">
        <v>1766039</v>
      </c>
      <c r="D32" s="47">
        <v>0.42</v>
      </c>
      <c r="E32" s="47">
        <v>0.16</v>
      </c>
      <c r="F32" s="8">
        <v>2332365</v>
      </c>
      <c r="G32" s="8">
        <f t="shared" ref="G32:G56" si="0">+J32+K32+L32+M32</f>
        <v>2316402</v>
      </c>
      <c r="H32" s="48">
        <f t="shared" ref="H32:H56" si="1">G32-F32</f>
        <v>-15963</v>
      </c>
      <c r="I32" s="8">
        <v>0</v>
      </c>
      <c r="J32" s="8">
        <v>0</v>
      </c>
      <c r="K32" s="8">
        <v>376069</v>
      </c>
      <c r="L32" s="8">
        <v>190257</v>
      </c>
      <c r="M32" s="8">
        <v>1750076</v>
      </c>
      <c r="N32" s="8"/>
    </row>
    <row r="33" spans="1:14" x14ac:dyDescent="0.25">
      <c r="A33" s="48">
        <v>2</v>
      </c>
      <c r="B33" s="74" t="s">
        <v>63</v>
      </c>
      <c r="C33" s="8">
        <v>1766039</v>
      </c>
      <c r="D33" s="47">
        <v>0.62</v>
      </c>
      <c r="E33" s="47">
        <v>0.43</v>
      </c>
      <c r="F33" s="8">
        <v>2162983</v>
      </c>
      <c r="G33" s="8">
        <f t="shared" si="0"/>
        <v>2291214</v>
      </c>
      <c r="H33" s="48">
        <f t="shared" si="1"/>
        <v>128231</v>
      </c>
      <c r="I33" s="8">
        <v>31520</v>
      </c>
      <c r="J33" s="8">
        <v>0</v>
      </c>
      <c r="K33" s="8">
        <v>396944</v>
      </c>
      <c r="L33" s="8">
        <v>0</v>
      </c>
      <c r="M33" s="8">
        <v>1894270</v>
      </c>
      <c r="N33" s="8"/>
    </row>
    <row r="34" spans="1:14" x14ac:dyDescent="0.25">
      <c r="A34" s="48">
        <v>3</v>
      </c>
      <c r="B34" s="49" t="s">
        <v>64</v>
      </c>
      <c r="C34" s="8">
        <v>5972165</v>
      </c>
      <c r="D34" s="47">
        <v>2.12</v>
      </c>
      <c r="E34" s="47">
        <v>0.47</v>
      </c>
      <c r="F34" s="8">
        <v>27335546</v>
      </c>
      <c r="G34" s="8">
        <f t="shared" si="0"/>
        <v>31660275</v>
      </c>
      <c r="H34" s="48">
        <f t="shared" si="1"/>
        <v>4324729</v>
      </c>
      <c r="I34" s="8">
        <v>4078632</v>
      </c>
      <c r="J34" s="8">
        <v>0</v>
      </c>
      <c r="K34" s="8">
        <v>21446819</v>
      </c>
      <c r="L34" s="8">
        <v>0</v>
      </c>
      <c r="M34" s="8">
        <v>10213456</v>
      </c>
      <c r="N34" s="8"/>
    </row>
    <row r="35" spans="1:14" x14ac:dyDescent="0.25">
      <c r="A35" s="48">
        <v>4</v>
      </c>
      <c r="B35" s="74" t="s">
        <v>65</v>
      </c>
      <c r="C35" s="8">
        <v>9363949</v>
      </c>
      <c r="D35" s="47">
        <v>7.71</v>
      </c>
      <c r="E35" s="47">
        <v>0.2</v>
      </c>
      <c r="F35" s="8">
        <v>160840856</v>
      </c>
      <c r="G35" s="8">
        <f t="shared" si="0"/>
        <v>168424218</v>
      </c>
      <c r="H35" s="48">
        <f t="shared" si="1"/>
        <v>7583362</v>
      </c>
      <c r="I35" s="8">
        <v>3705799</v>
      </c>
      <c r="J35" s="8">
        <v>140534970</v>
      </c>
      <c r="K35" s="8">
        <f>1229592+9712345</f>
        <v>10941937</v>
      </c>
      <c r="L35" s="8">
        <v>0</v>
      </c>
      <c r="M35" s="8">
        <v>16947311</v>
      </c>
      <c r="N35" s="8"/>
    </row>
    <row r="36" spans="1:14" x14ac:dyDescent="0.25">
      <c r="A36" s="48">
        <v>5</v>
      </c>
      <c r="B36" s="74" t="s">
        <v>67</v>
      </c>
      <c r="C36" s="8">
        <v>8526237</v>
      </c>
      <c r="D36" s="47">
        <v>5.41</v>
      </c>
      <c r="E36" s="47">
        <v>0.7</v>
      </c>
      <c r="F36" s="8">
        <v>75536117</v>
      </c>
      <c r="G36" s="8">
        <f t="shared" si="0"/>
        <v>83660341</v>
      </c>
      <c r="H36" s="48">
        <f t="shared" si="1"/>
        <v>8124224</v>
      </c>
      <c r="I36" s="8">
        <v>993993</v>
      </c>
      <c r="J36" s="8">
        <v>39632564</v>
      </c>
      <c r="K36" s="8">
        <v>28354021</v>
      </c>
      <c r="L36" s="8">
        <v>3785</v>
      </c>
      <c r="M36" s="8">
        <v>15669971</v>
      </c>
      <c r="N36" s="8"/>
    </row>
    <row r="37" spans="1:14" x14ac:dyDescent="0.25">
      <c r="A37" s="48">
        <v>6</v>
      </c>
      <c r="B37" s="74" t="s">
        <v>66</v>
      </c>
      <c r="C37" s="8">
        <v>86974462</v>
      </c>
      <c r="D37" s="47">
        <v>8.4499999999999993</v>
      </c>
      <c r="E37" s="47">
        <v>0.51</v>
      </c>
      <c r="F37" s="8">
        <v>1442589729</v>
      </c>
      <c r="G37" s="8">
        <f t="shared" si="0"/>
        <v>1490001162</v>
      </c>
      <c r="H37" s="48">
        <f t="shared" si="1"/>
        <v>47411433</v>
      </c>
      <c r="I37" s="8">
        <v>56597658</v>
      </c>
      <c r="J37" s="8">
        <v>1300028691</v>
      </c>
      <c r="K37" s="8">
        <v>57455969</v>
      </c>
      <c r="L37" s="8">
        <v>12963</v>
      </c>
      <c r="M37" s="8">
        <v>132503539</v>
      </c>
      <c r="N37" s="8"/>
    </row>
    <row r="38" spans="1:14" x14ac:dyDescent="0.25">
      <c r="A38" s="48">
        <v>7</v>
      </c>
      <c r="B38" s="49" t="s">
        <v>68</v>
      </c>
      <c r="C38" s="8">
        <v>13540709</v>
      </c>
      <c r="D38" s="47">
        <v>2.85</v>
      </c>
      <c r="E38" s="47">
        <v>0.8</v>
      </c>
      <c r="F38" s="8">
        <v>47966772</v>
      </c>
      <c r="G38" s="8">
        <f t="shared" si="0"/>
        <v>55696659</v>
      </c>
      <c r="H38" s="48">
        <f t="shared" si="1"/>
        <v>7729887</v>
      </c>
      <c r="I38" s="8">
        <v>410338</v>
      </c>
      <c r="J38" s="8">
        <v>0</v>
      </c>
      <c r="K38" s="8">
        <v>34426063</v>
      </c>
      <c r="L38" s="8">
        <v>0</v>
      </c>
      <c r="M38" s="8">
        <v>21270596</v>
      </c>
      <c r="N38" s="48"/>
    </row>
    <row r="39" spans="1:14" x14ac:dyDescent="0.25">
      <c r="A39" s="48">
        <v>8</v>
      </c>
      <c r="B39" s="49" t="s">
        <v>69</v>
      </c>
      <c r="C39" s="8">
        <v>43173549</v>
      </c>
      <c r="D39" s="47">
        <v>8.2200000000000006</v>
      </c>
      <c r="E39" s="47">
        <v>0.37</v>
      </c>
      <c r="F39" s="8">
        <v>763732305</v>
      </c>
      <c r="G39" s="8">
        <f t="shared" si="0"/>
        <v>796627175</v>
      </c>
      <c r="H39" s="48">
        <f t="shared" si="1"/>
        <v>32894870</v>
      </c>
      <c r="I39" s="8">
        <v>8575500</v>
      </c>
      <c r="J39" s="8">
        <v>615304310</v>
      </c>
      <c r="K39" s="8">
        <v>98268298</v>
      </c>
      <c r="L39" s="8">
        <v>3488958</v>
      </c>
      <c r="M39" s="8">
        <v>79565609</v>
      </c>
      <c r="N39" s="8"/>
    </row>
    <row r="40" spans="1:14" x14ac:dyDescent="0.25">
      <c r="A40" s="48">
        <v>9</v>
      </c>
      <c r="B40" s="74" t="s">
        <v>71</v>
      </c>
      <c r="C40" s="48">
        <v>1766039</v>
      </c>
      <c r="D40" s="50">
        <v>0.86</v>
      </c>
      <c r="E40" s="50">
        <v>0.55000000000000004</v>
      </c>
      <c r="F40" s="48">
        <v>2322503</v>
      </c>
      <c r="G40" s="8">
        <f t="shared" si="0"/>
        <v>2788760</v>
      </c>
      <c r="H40" s="48">
        <f t="shared" si="1"/>
        <v>466257</v>
      </c>
      <c r="I40" s="48">
        <v>400865</v>
      </c>
      <c r="J40" s="48">
        <v>0</v>
      </c>
      <c r="K40" s="48">
        <f>332273+224191</f>
        <v>556464</v>
      </c>
      <c r="L40" s="48">
        <v>0</v>
      </c>
      <c r="M40" s="48">
        <v>2232296</v>
      </c>
      <c r="N40" s="8"/>
    </row>
    <row r="41" spans="1:14" x14ac:dyDescent="0.25">
      <c r="A41" s="48">
        <v>10</v>
      </c>
      <c r="B41" s="74" t="s">
        <v>72</v>
      </c>
      <c r="C41" s="8">
        <v>16395082</v>
      </c>
      <c r="D41" s="47">
        <v>5.42</v>
      </c>
      <c r="E41" s="47">
        <v>0.14000000000000001</v>
      </c>
      <c r="F41" s="8">
        <v>303974643</v>
      </c>
      <c r="G41" s="8">
        <f t="shared" si="0"/>
        <v>338716467</v>
      </c>
      <c r="H41" s="48">
        <f t="shared" si="1"/>
        <v>34741824</v>
      </c>
      <c r="I41" s="8">
        <v>4969971</v>
      </c>
      <c r="J41" s="8">
        <v>284963067</v>
      </c>
      <c r="K41" s="8">
        <v>2415555</v>
      </c>
      <c r="L41" s="8">
        <v>200939</v>
      </c>
      <c r="M41" s="8">
        <v>51136906</v>
      </c>
      <c r="N41" s="8"/>
    </row>
    <row r="42" spans="1:14" x14ac:dyDescent="0.25">
      <c r="A42" s="48">
        <v>11</v>
      </c>
      <c r="B42" s="74" t="s">
        <v>73</v>
      </c>
      <c r="C42" s="8">
        <v>137556443</v>
      </c>
      <c r="D42" s="47">
        <v>7.06</v>
      </c>
      <c r="E42" s="47">
        <v>0.5</v>
      </c>
      <c r="F42" s="8">
        <v>2048390057</v>
      </c>
      <c r="G42" s="8">
        <f t="shared" si="0"/>
        <v>2139167755</v>
      </c>
      <c r="H42" s="48">
        <f t="shared" si="1"/>
        <v>90777698</v>
      </c>
      <c r="I42" s="8">
        <v>69609600</v>
      </c>
      <c r="J42" s="8">
        <v>1751804805</v>
      </c>
      <c r="K42" s="8">
        <v>138746245</v>
      </c>
      <c r="L42" s="8">
        <v>431355</v>
      </c>
      <c r="M42" s="8">
        <v>248185350</v>
      </c>
      <c r="N42" s="8"/>
    </row>
    <row r="43" spans="1:14" x14ac:dyDescent="0.25">
      <c r="A43" s="48">
        <v>12</v>
      </c>
      <c r="B43" s="74" t="s">
        <v>107</v>
      </c>
      <c r="C43" s="8">
        <v>54585730</v>
      </c>
      <c r="D43" s="47">
        <v>8.24</v>
      </c>
      <c r="E43" s="47">
        <v>0.31</v>
      </c>
      <c r="F43" s="8">
        <v>1003340343</v>
      </c>
      <c r="G43" s="8">
        <f t="shared" si="0"/>
        <v>1054671291</v>
      </c>
      <c r="H43" s="48">
        <f t="shared" si="1"/>
        <v>51330948</v>
      </c>
      <c r="I43" s="8">
        <v>7650240</v>
      </c>
      <c r="J43" s="8">
        <v>911700245</v>
      </c>
      <c r="K43" s="8">
        <v>37587369</v>
      </c>
      <c r="L43" s="8">
        <v>0</v>
      </c>
      <c r="M43" s="8">
        <v>105383677</v>
      </c>
      <c r="N43" s="8"/>
    </row>
    <row r="44" spans="1:14" x14ac:dyDescent="0.25">
      <c r="A44" s="48">
        <v>13</v>
      </c>
      <c r="B44" s="49" t="s">
        <v>74</v>
      </c>
      <c r="C44" s="8">
        <v>20945502</v>
      </c>
      <c r="D44" s="47">
        <v>5.37</v>
      </c>
      <c r="E44" s="47">
        <v>0.23</v>
      </c>
      <c r="F44" s="8">
        <v>364677505</v>
      </c>
      <c r="G44" s="8">
        <f t="shared" si="0"/>
        <v>404959305</v>
      </c>
      <c r="H44" s="48">
        <f t="shared" si="1"/>
        <v>40281800</v>
      </c>
      <c r="I44" s="8">
        <v>10856121</v>
      </c>
      <c r="J44" s="8">
        <v>303415346</v>
      </c>
      <c r="K44" s="8">
        <v>41034874</v>
      </c>
      <c r="L44" s="8">
        <v>281845</v>
      </c>
      <c r="M44" s="8">
        <v>60227240</v>
      </c>
      <c r="N44" s="8"/>
    </row>
    <row r="45" spans="1:14" x14ac:dyDescent="0.25">
      <c r="A45" s="48">
        <v>14</v>
      </c>
      <c r="B45" s="74" t="s">
        <v>75</v>
      </c>
      <c r="C45" s="8">
        <v>24034191</v>
      </c>
      <c r="D45" s="47">
        <v>11.27</v>
      </c>
      <c r="E45" s="47">
        <v>0.55000000000000004</v>
      </c>
      <c r="F45" s="8">
        <v>502629442</v>
      </c>
      <c r="G45" s="8">
        <f t="shared" si="0"/>
        <v>515764653</v>
      </c>
      <c r="H45" s="48">
        <f t="shared" si="1"/>
        <v>13135211</v>
      </c>
      <c r="I45" s="8">
        <v>12809144</v>
      </c>
      <c r="J45" s="8">
        <v>381423172</v>
      </c>
      <c r="K45" s="8">
        <v>90628395</v>
      </c>
      <c r="L45" s="8">
        <v>235811</v>
      </c>
      <c r="M45" s="8">
        <v>43477275</v>
      </c>
      <c r="N45" s="8"/>
    </row>
    <row r="46" spans="1:14" x14ac:dyDescent="0.25">
      <c r="A46" s="48">
        <v>15</v>
      </c>
      <c r="B46" s="74" t="s">
        <v>76</v>
      </c>
      <c r="C46" s="8">
        <v>1766039</v>
      </c>
      <c r="D46" s="47">
        <v>0.61</v>
      </c>
      <c r="E46" s="47">
        <v>0.04</v>
      </c>
      <c r="F46" s="8">
        <v>3382815</v>
      </c>
      <c r="G46" s="8">
        <f t="shared" si="0"/>
        <v>3495044</v>
      </c>
      <c r="H46" s="48">
        <f t="shared" si="1"/>
        <v>112229</v>
      </c>
      <c r="I46" s="8">
        <v>897998</v>
      </c>
      <c r="J46" s="8">
        <v>0</v>
      </c>
      <c r="K46" s="8">
        <f>432799+1183977</f>
        <v>1616776</v>
      </c>
      <c r="L46" s="8">
        <v>0</v>
      </c>
      <c r="M46" s="8">
        <v>1878268</v>
      </c>
      <c r="N46" s="8"/>
    </row>
    <row r="47" spans="1:14" x14ac:dyDescent="0.25">
      <c r="A47" s="48">
        <v>16</v>
      </c>
      <c r="B47" s="74" t="s">
        <v>77</v>
      </c>
      <c r="C47" s="8">
        <v>102796084</v>
      </c>
      <c r="D47" s="47">
        <v>8.2799999999999994</v>
      </c>
      <c r="E47" s="47">
        <v>0.13</v>
      </c>
      <c r="F47" s="8">
        <v>1827555026</v>
      </c>
      <c r="G47" s="8">
        <f t="shared" si="0"/>
        <v>1909532489</v>
      </c>
      <c r="H47" s="48">
        <f t="shared" si="1"/>
        <v>81977463</v>
      </c>
      <c r="I47" s="8">
        <v>13926133</v>
      </c>
      <c r="J47" s="8">
        <v>1567170937</v>
      </c>
      <c r="K47" s="8">
        <f>5612964+62410621+47313831+39325556</f>
        <v>154662972</v>
      </c>
      <c r="L47" s="8">
        <v>835450</v>
      </c>
      <c r="M47" s="8">
        <v>186863130</v>
      </c>
      <c r="N47" s="8"/>
    </row>
    <row r="48" spans="1:14" x14ac:dyDescent="0.25">
      <c r="A48" s="48">
        <v>17</v>
      </c>
      <c r="B48" s="74" t="s">
        <v>78</v>
      </c>
      <c r="C48" s="8">
        <v>17530713</v>
      </c>
      <c r="D48" s="47">
        <v>2.9</v>
      </c>
      <c r="E48" s="47">
        <v>0.43</v>
      </c>
      <c r="F48" s="8">
        <v>171101253</v>
      </c>
      <c r="G48" s="8">
        <f t="shared" si="0"/>
        <v>189494881</v>
      </c>
      <c r="H48" s="48">
        <f t="shared" si="1"/>
        <v>18393628</v>
      </c>
      <c r="I48" s="8">
        <v>10514022</v>
      </c>
      <c r="J48" s="8">
        <v>31770099</v>
      </c>
      <c r="K48" s="8">
        <f>8273332+53132840+61315725</f>
        <v>122721897</v>
      </c>
      <c r="L48" s="8">
        <v>0</v>
      </c>
      <c r="M48" s="8">
        <v>35002885</v>
      </c>
      <c r="N48" s="48"/>
    </row>
    <row r="49" spans="1:14" x14ac:dyDescent="0.25">
      <c r="A49" s="48">
        <v>18</v>
      </c>
      <c r="B49" s="49" t="s">
        <v>79</v>
      </c>
      <c r="C49" s="8">
        <v>1828783</v>
      </c>
      <c r="D49" s="47">
        <v>12.37</v>
      </c>
      <c r="E49" s="47">
        <v>0.48</v>
      </c>
      <c r="F49" s="8">
        <v>31695553</v>
      </c>
      <c r="G49" s="8">
        <f t="shared" si="0"/>
        <v>32258794</v>
      </c>
      <c r="H49" s="48">
        <f t="shared" si="1"/>
        <v>563241</v>
      </c>
      <c r="I49" s="8">
        <v>73208</v>
      </c>
      <c r="J49" s="8">
        <v>28581053</v>
      </c>
      <c r="K49" s="8">
        <v>1298732</v>
      </c>
      <c r="L49" s="8">
        <v>0</v>
      </c>
      <c r="M49" s="8">
        <v>2379009</v>
      </c>
      <c r="N49" s="48"/>
    </row>
    <row r="50" spans="1:14" x14ac:dyDescent="0.25">
      <c r="A50" s="48">
        <v>19</v>
      </c>
      <c r="B50" s="74" t="s">
        <v>80</v>
      </c>
      <c r="C50" s="8">
        <v>84584358</v>
      </c>
      <c r="D50" s="47">
        <v>11.09</v>
      </c>
      <c r="E50" s="47">
        <v>0.31</v>
      </c>
      <c r="F50" s="8">
        <v>1440085315</v>
      </c>
      <c r="G50" s="8">
        <f t="shared" si="0"/>
        <v>1459068647</v>
      </c>
      <c r="H50" s="48">
        <f t="shared" si="1"/>
        <v>18983332</v>
      </c>
      <c r="I50" s="8">
        <v>10772291</v>
      </c>
      <c r="J50" s="8">
        <v>1267116205</v>
      </c>
      <c r="K50" s="8">
        <f>13366894+41099342+4328761+28832131</f>
        <v>87627128</v>
      </c>
      <c r="L50" s="8">
        <v>1</v>
      </c>
      <c r="M50" s="8">
        <v>104325313</v>
      </c>
      <c r="N50" s="8"/>
    </row>
    <row r="51" spans="1:14" x14ac:dyDescent="0.25">
      <c r="A51" s="48">
        <v>20</v>
      </c>
      <c r="B51" s="49" t="s">
        <v>81</v>
      </c>
      <c r="C51" s="8">
        <v>20753429</v>
      </c>
      <c r="D51" s="47">
        <v>11.65</v>
      </c>
      <c r="E51" s="47">
        <v>0.09</v>
      </c>
      <c r="F51" s="8">
        <v>385632684</v>
      </c>
      <c r="G51" s="8">
        <f t="shared" si="0"/>
        <v>390788162</v>
      </c>
      <c r="H51" s="48">
        <f t="shared" si="1"/>
        <v>5155478</v>
      </c>
      <c r="I51" s="8">
        <v>637944</v>
      </c>
      <c r="J51" s="8">
        <v>359331772</v>
      </c>
      <c r="K51" s="8">
        <v>5547484</v>
      </c>
      <c r="L51" s="8">
        <v>0</v>
      </c>
      <c r="M51" s="8">
        <v>25908906</v>
      </c>
      <c r="N51" s="48"/>
    </row>
    <row r="52" spans="1:14" x14ac:dyDescent="0.25">
      <c r="A52" s="48">
        <v>21</v>
      </c>
      <c r="B52" s="74" t="s">
        <v>82</v>
      </c>
      <c r="C52" s="8">
        <v>40863373</v>
      </c>
      <c r="D52" s="47">
        <v>9.73</v>
      </c>
      <c r="E52" s="47">
        <v>0.51</v>
      </c>
      <c r="F52" s="8">
        <v>738276796</v>
      </c>
      <c r="G52" s="8">
        <f t="shared" si="0"/>
        <v>748734839</v>
      </c>
      <c r="H52" s="48">
        <f t="shared" si="1"/>
        <v>10458043</v>
      </c>
      <c r="I52" s="8">
        <v>14488366.160979999</v>
      </c>
      <c r="J52" s="8">
        <v>670270555</v>
      </c>
      <c r="K52" s="8">
        <f>334416+5839279+23345798</f>
        <v>29519493</v>
      </c>
      <c r="L52" s="8">
        <v>440069</v>
      </c>
      <c r="M52" s="8">
        <v>48504722</v>
      </c>
      <c r="N52" s="48"/>
    </row>
    <row r="53" spans="1:14" x14ac:dyDescent="0.25">
      <c r="A53" s="48">
        <v>22</v>
      </c>
      <c r="B53" s="74" t="s">
        <v>83</v>
      </c>
      <c r="C53" s="8">
        <v>74010213</v>
      </c>
      <c r="D53" s="47">
        <v>16.48</v>
      </c>
      <c r="E53" s="47">
        <v>0.51</v>
      </c>
      <c r="F53" s="8">
        <v>1368205416</v>
      </c>
      <c r="G53" s="8">
        <f t="shared" si="0"/>
        <v>1370129677</v>
      </c>
      <c r="H53" s="48">
        <f t="shared" si="1"/>
        <v>1924261</v>
      </c>
      <c r="I53" s="8">
        <v>7480288</v>
      </c>
      <c r="J53" s="8">
        <v>1268210623</v>
      </c>
      <c r="K53" s="8">
        <f>1028671+17006814+3508467+4687126</f>
        <v>26231078</v>
      </c>
      <c r="L53" s="8">
        <v>0</v>
      </c>
      <c r="M53" s="8">
        <v>75687976</v>
      </c>
      <c r="N53" s="8"/>
    </row>
    <row r="54" spans="1:14" x14ac:dyDescent="0.25">
      <c r="A54" s="48">
        <v>23</v>
      </c>
      <c r="B54" s="74" t="s">
        <v>84</v>
      </c>
      <c r="C54" s="8">
        <v>15221367</v>
      </c>
      <c r="D54" s="47">
        <v>8.25</v>
      </c>
      <c r="E54" s="47">
        <v>0.36</v>
      </c>
      <c r="F54" s="8">
        <v>277803511</v>
      </c>
      <c r="G54" s="8">
        <f t="shared" si="0"/>
        <v>280843602</v>
      </c>
      <c r="H54" s="48">
        <f t="shared" si="1"/>
        <v>3040091</v>
      </c>
      <c r="I54" s="8">
        <v>13442280</v>
      </c>
      <c r="J54" s="8">
        <v>259639967</v>
      </c>
      <c r="K54" s="8">
        <v>2978808</v>
      </c>
      <c r="L54" s="8">
        <v>1668</v>
      </c>
      <c r="M54" s="8">
        <v>18223159</v>
      </c>
      <c r="N54" s="8"/>
    </row>
    <row r="55" spans="1:14" x14ac:dyDescent="0.25">
      <c r="A55" s="48">
        <v>24</v>
      </c>
      <c r="B55" s="74" t="s">
        <v>85</v>
      </c>
      <c r="C55" s="8">
        <v>14105045</v>
      </c>
      <c r="D55" s="47">
        <v>0.76</v>
      </c>
      <c r="E55" s="47">
        <v>0.2</v>
      </c>
      <c r="F55" s="8">
        <v>57017986</v>
      </c>
      <c r="G55" s="8">
        <f t="shared" si="0"/>
        <v>70544058</v>
      </c>
      <c r="H55" s="48">
        <f t="shared" si="1"/>
        <v>13526072</v>
      </c>
      <c r="I55" s="8">
        <v>33976041</v>
      </c>
      <c r="J55" s="8">
        <v>0</v>
      </c>
      <c r="K55" s="8">
        <f>8907401+30231361+4366196</f>
        <v>43504958</v>
      </c>
      <c r="L55" s="8">
        <v>50705</v>
      </c>
      <c r="M55" s="8">
        <v>26988395</v>
      </c>
      <c r="N55" s="8"/>
    </row>
    <row r="56" spans="1:14" x14ac:dyDescent="0.25">
      <c r="A56" s="48">
        <v>25</v>
      </c>
      <c r="B56" s="74" t="s">
        <v>108</v>
      </c>
      <c r="C56" s="8">
        <v>42266612</v>
      </c>
      <c r="D56" s="47">
        <v>7.42</v>
      </c>
      <c r="E56" s="47">
        <v>0.13</v>
      </c>
      <c r="F56" s="8">
        <v>709490543</v>
      </c>
      <c r="G56" s="8">
        <f t="shared" si="0"/>
        <v>737696664</v>
      </c>
      <c r="H56" s="48">
        <f t="shared" si="1"/>
        <v>28206121</v>
      </c>
      <c r="I56" s="8">
        <v>1157811</v>
      </c>
      <c r="J56" s="8">
        <v>590588169</v>
      </c>
      <c r="K56" s="8">
        <v>78380927</v>
      </c>
      <c r="L56" s="8">
        <v>152</v>
      </c>
      <c r="M56" s="8">
        <v>68727416</v>
      </c>
      <c r="N56" s="8"/>
    </row>
    <row r="57" spans="1:14" x14ac:dyDescent="0.25">
      <c r="A57" s="65" t="s">
        <v>97</v>
      </c>
      <c r="B57" s="13"/>
      <c r="C57" s="51">
        <f>SUM(C32:C56)</f>
        <v>842092152</v>
      </c>
      <c r="D57" s="52"/>
      <c r="E57" s="52"/>
      <c r="F57" s="51">
        <f t="shared" ref="F57:M57" si="2">SUM(F32:F56)</f>
        <v>13758078064</v>
      </c>
      <c r="G57" s="51">
        <f t="shared" si="2"/>
        <v>14279332534</v>
      </c>
      <c r="H57" s="51">
        <f t="shared" si="2"/>
        <v>521254470</v>
      </c>
      <c r="I57" s="51">
        <f t="shared" si="2"/>
        <v>288055763.16097999</v>
      </c>
      <c r="J57" s="51">
        <f t="shared" si="2"/>
        <v>11771486550</v>
      </c>
      <c r="K57" s="51">
        <f t="shared" si="2"/>
        <v>1116725275</v>
      </c>
      <c r="L57" s="51">
        <f t="shared" si="2"/>
        <v>6173958</v>
      </c>
      <c r="M57" s="51">
        <f t="shared" si="2"/>
        <v>1384946751</v>
      </c>
      <c r="N57" s="8"/>
    </row>
    <row r="58" spans="1:14" x14ac:dyDescent="0.25">
      <c r="A58" s="66"/>
      <c r="B58" s="66"/>
      <c r="C58" s="8"/>
      <c r="D58" s="47"/>
      <c r="E58" s="47"/>
      <c r="F58" s="8"/>
      <c r="G58" s="8"/>
      <c r="H58" s="8"/>
      <c r="I58" s="8"/>
      <c r="J58" s="8"/>
      <c r="K58" s="8"/>
      <c r="L58" s="8"/>
      <c r="M58" s="8"/>
      <c r="N58" s="8"/>
    </row>
    <row r="59" spans="1:14" x14ac:dyDescent="0.25">
      <c r="A59" s="3" t="s">
        <v>98</v>
      </c>
      <c r="B59" s="53"/>
      <c r="C59" s="8"/>
      <c r="D59" s="47"/>
      <c r="E59" s="47"/>
      <c r="F59" s="8"/>
      <c r="G59" s="48"/>
      <c r="H59" s="48"/>
      <c r="I59" s="8"/>
      <c r="J59" s="8"/>
      <c r="K59" s="8"/>
      <c r="L59" s="8"/>
      <c r="M59" s="54"/>
      <c r="N59" s="8"/>
    </row>
    <row r="60" spans="1:14" x14ac:dyDescent="0.25">
      <c r="A60" s="48">
        <v>1</v>
      </c>
      <c r="B60" s="49" t="s">
        <v>90</v>
      </c>
      <c r="C60" s="8">
        <v>2354719</v>
      </c>
      <c r="D60" s="47">
        <v>1.56</v>
      </c>
      <c r="E60" s="47">
        <v>0.04</v>
      </c>
      <c r="F60" s="8">
        <v>36054770</v>
      </c>
      <c r="G60" s="48">
        <f>+J60+K60+L60+M60</f>
        <v>45213422</v>
      </c>
      <c r="H60" s="48">
        <f>G60-F60</f>
        <v>9158652</v>
      </c>
      <c r="I60" s="8">
        <v>11316867</v>
      </c>
      <c r="J60" s="8">
        <v>33646300</v>
      </c>
      <c r="K60" s="8">
        <v>53751</v>
      </c>
      <c r="L60" s="8">
        <v>0</v>
      </c>
      <c r="M60" s="8">
        <v>11513371</v>
      </c>
      <c r="N60" s="8"/>
    </row>
    <row r="61" spans="1:14" x14ac:dyDescent="0.25">
      <c r="A61" s="48"/>
      <c r="B61" s="49"/>
      <c r="C61" s="8"/>
      <c r="D61" s="47"/>
      <c r="E61" s="47"/>
      <c r="F61" s="8"/>
      <c r="G61" s="48"/>
      <c r="H61" s="48"/>
      <c r="I61" s="8"/>
      <c r="J61" s="8"/>
      <c r="K61" s="8"/>
      <c r="L61" s="8"/>
      <c r="M61" s="8"/>
      <c r="N61" s="8"/>
    </row>
    <row r="62" spans="1:14" x14ac:dyDescent="0.25">
      <c r="A62" s="65" t="s">
        <v>99</v>
      </c>
      <c r="B62" s="55"/>
      <c r="C62" s="51">
        <f>SUM(C60)</f>
        <v>2354719</v>
      </c>
      <c r="D62" s="52"/>
      <c r="E62" s="52"/>
      <c r="F62" s="51">
        <f t="shared" ref="F62:M62" si="3">SUM(F60)</f>
        <v>36054770</v>
      </c>
      <c r="G62" s="51">
        <f t="shared" si="3"/>
        <v>45213422</v>
      </c>
      <c r="H62" s="51">
        <f t="shared" si="3"/>
        <v>9158652</v>
      </c>
      <c r="I62" s="51">
        <f t="shared" si="3"/>
        <v>11316867</v>
      </c>
      <c r="J62" s="51">
        <f t="shared" si="3"/>
        <v>33646300</v>
      </c>
      <c r="K62" s="51">
        <f t="shared" si="3"/>
        <v>53751</v>
      </c>
      <c r="L62" s="51">
        <f t="shared" si="3"/>
        <v>0</v>
      </c>
      <c r="M62" s="51">
        <f t="shared" si="3"/>
        <v>11513371</v>
      </c>
      <c r="N62" s="8"/>
    </row>
    <row r="63" spans="1:14" ht="15.75" thickBot="1" x14ac:dyDescent="0.3">
      <c r="A63" s="8"/>
      <c r="B63" s="8"/>
      <c r="C63" s="8"/>
      <c r="D63" s="47"/>
      <c r="E63" s="47"/>
      <c r="F63" s="8"/>
      <c r="G63" s="8"/>
      <c r="H63" s="8"/>
      <c r="I63" s="48"/>
      <c r="J63" s="48"/>
      <c r="K63" s="48"/>
      <c r="L63" s="8"/>
      <c r="M63" s="54"/>
      <c r="N63" s="8"/>
    </row>
    <row r="64" spans="1:14" ht="15.75" thickBot="1" x14ac:dyDescent="0.3">
      <c r="A64" s="67" t="s">
        <v>100</v>
      </c>
      <c r="B64" s="68"/>
      <c r="C64" s="69">
        <f>C57+C62</f>
        <v>844446871</v>
      </c>
      <c r="D64" s="70"/>
      <c r="E64" s="70"/>
      <c r="F64" s="69">
        <f t="shared" ref="F64:M64" si="4">F57+F62</f>
        <v>13794132834</v>
      </c>
      <c r="G64" s="69">
        <f t="shared" si="4"/>
        <v>14324545956</v>
      </c>
      <c r="H64" s="69">
        <f t="shared" si="4"/>
        <v>530413122</v>
      </c>
      <c r="I64" s="69">
        <f t="shared" si="4"/>
        <v>299372630.16097999</v>
      </c>
      <c r="J64" s="71">
        <f t="shared" si="4"/>
        <v>11805132850</v>
      </c>
      <c r="K64" s="71">
        <f t="shared" si="4"/>
        <v>1116779026</v>
      </c>
      <c r="L64" s="69">
        <f t="shared" si="4"/>
        <v>6173958</v>
      </c>
      <c r="M64" s="69">
        <f t="shared" si="4"/>
        <v>1396460122</v>
      </c>
      <c r="N64" s="8"/>
    </row>
    <row r="65" spans="1:14" x14ac:dyDescent="0.25">
      <c r="A65" s="8"/>
      <c r="B65" s="8"/>
      <c r="C65" s="8"/>
      <c r="D65" s="8"/>
      <c r="E65" s="8"/>
      <c r="F65" s="8"/>
      <c r="G65" s="8"/>
      <c r="H65" s="8"/>
      <c r="I65" s="8"/>
      <c r="J65" s="8"/>
      <c r="K65" s="8"/>
      <c r="L65" s="8"/>
      <c r="M65" s="8"/>
      <c r="N65" s="8"/>
    </row>
    <row r="66" spans="1:14" x14ac:dyDescent="0.25">
      <c r="A66" s="75" t="s">
        <v>101</v>
      </c>
      <c r="B66" s="86" t="s">
        <v>109</v>
      </c>
      <c r="C66" s="86"/>
      <c r="D66" s="86"/>
      <c r="E66" s="86"/>
      <c r="F66" s="86"/>
      <c r="G66" s="86"/>
      <c r="H66" s="86"/>
      <c r="I66" s="86"/>
      <c r="J66" s="86"/>
      <c r="K66" s="86"/>
      <c r="L66" s="86"/>
      <c r="M66" s="86"/>
      <c r="N66" s="8"/>
    </row>
    <row r="67" spans="1:14" x14ac:dyDescent="0.25">
      <c r="A67" s="75" t="s">
        <v>110</v>
      </c>
      <c r="B67" s="86" t="s">
        <v>111</v>
      </c>
      <c r="C67" s="86"/>
      <c r="D67" s="86"/>
      <c r="E67" s="86"/>
      <c r="F67" s="86"/>
      <c r="G67" s="86"/>
      <c r="H67" s="86"/>
      <c r="I67" s="86"/>
      <c r="J67" s="86"/>
      <c r="K67" s="86"/>
      <c r="L67" s="86"/>
      <c r="M67" s="86"/>
      <c r="N67" s="8"/>
    </row>
  </sheetData>
  <mergeCells count="5">
    <mergeCell ref="B66:M66"/>
    <mergeCell ref="B67:M67"/>
    <mergeCell ref="D6:E6"/>
    <mergeCell ref="D15:E15"/>
    <mergeCell ref="D27:E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 </vt:lpstr>
      <vt:lpstr>Junio </vt:lpstr>
      <vt:lpstr>Septiembre </vt:lpstr>
      <vt:lpstr>Diciembre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2013-12-13T14:49:38Z</dcterms:modified>
</cp:coreProperties>
</file>