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95" windowWidth="15120" windowHeight="7320" tabRatio="848"/>
  </bookViews>
  <sheets>
    <sheet name="Cap II Patrim Disponible" sheetId="33" r:id="rId1"/>
    <sheet name="Cap III 1.1 CBR Mercado" sheetId="10" r:id="rId2"/>
    <sheet name="a) Acciones" sheetId="26" r:id="rId3"/>
    <sheet name="b1) RF Nac Estatales" sheetId="3" r:id="rId4"/>
    <sheet name="b2) RF Nac No Sec" sheetId="46" r:id="rId5"/>
    <sheet name="b3) RF Nac Sec" sheetId="47" r:id="rId6"/>
    <sheet name="b4) RF Ext Estatales" sheetId="48" r:id="rId7"/>
    <sheet name="b5) RF Ext No Sec" sheetId="49" r:id="rId8"/>
    <sheet name="b6) RF Ext Sec" sheetId="50" r:id="rId9"/>
    <sheet name="c) BBRR" sheetId="27" r:id="rId10"/>
    <sheet name="d) Fondos" sheetId="6" r:id="rId11"/>
    <sheet name="e) Moneda" sheetId="8" r:id="rId12"/>
    <sheet name="f) Derivados" sheetId="28" r:id="rId13"/>
    <sheet name="g) Otros" sheetId="35" r:id="rId14"/>
    <sheet name="Agregación CBR Mercado" sheetId="53" r:id="rId15"/>
    <sheet name="Cap III 1.2 CBR Crédito" sheetId="18" r:id="rId16"/>
    <sheet name="a) CBR Crédito RF" sheetId="11" r:id="rId17"/>
    <sheet name="b1) CBR Crédito (MHE)" sheetId="30" r:id="rId18"/>
    <sheet name="b2) CBR Crédito (Préstamos)" sheetId="19" r:id="rId19"/>
    <sheet name="c) CBR Crédito (Cleas)" sheetId="51" r:id="rId20"/>
    <sheet name="d) CBR Crédito PxC " sheetId="45" r:id="rId21"/>
    <sheet name="e1) CBR Crédito AxR" sheetId="57" r:id="rId22"/>
    <sheet name="e.2) CBR Crédito AxR Terremoto" sheetId="58" r:id="rId23"/>
    <sheet name="f) CBR Crédito Derivados" sheetId="59" r:id="rId24"/>
    <sheet name="g) CBR Crédito Otros" sheetId="60" r:id="rId25"/>
    <sheet name="Cap IV Resumen R.Tecnicos (CSV)" sheetId="36" r:id="rId26"/>
    <sheet name="VTD Ajustado y Estresado" sheetId="61" r:id="rId27"/>
    <sheet name="Cap IV 1 RRVV (TSA)" sheetId="56" r:id="rId28"/>
    <sheet name="Cap IV 2 CBR SIS" sheetId="39" r:id="rId29"/>
    <sheet name="Cap IV 3 Seguros con CUI" sheetId="40" r:id="rId30"/>
    <sheet name="Cap IV CBR 4.1 Activos RF R Mat" sheetId="41" r:id="rId31"/>
    <sheet name="Cap IV 4.2 CBR RT Vida Tradic" sheetId="42" r:id="rId32"/>
    <sheet name="Cap IV CBR RT Salud y AP" sheetId="62" r:id="rId33"/>
    <sheet name="Agregación Riesgos Técnicos CSV" sheetId="54" r:id="rId34"/>
    <sheet name="Cap V CBR Operacional (CSV)" sheetId="43" r:id="rId35"/>
    <sheet name="Cap VI Agregación (CSV)" sheetId="44" r:id="rId36"/>
  </sheets>
  <externalReferences>
    <externalReference r:id="rId37"/>
  </externalReferences>
  <definedNames>
    <definedName name="__123Graph_F" localSheetId="14" hidden="1">[1]A!#REF!</definedName>
    <definedName name="__123Graph_F" localSheetId="33" hidden="1">[1]A!#REF!</definedName>
    <definedName name="__123Graph_F" localSheetId="4" hidden="1">[1]A!#REF!</definedName>
    <definedName name="__123Graph_F" localSheetId="5" hidden="1">[1]A!#REF!</definedName>
    <definedName name="__123Graph_F" localSheetId="7" hidden="1">[1]A!#REF!</definedName>
    <definedName name="__123Graph_F" localSheetId="8" hidden="1">[1]A!#REF!</definedName>
    <definedName name="__123Graph_F" localSheetId="19" hidden="1">[1]A!#REF!</definedName>
    <definedName name="__123Graph_F" localSheetId="27" hidden="1">[1]A!#REF!</definedName>
    <definedName name="__123Graph_F" localSheetId="25" hidden="1">[1]A!#REF!</definedName>
    <definedName name="__123Graph_F" localSheetId="20" hidden="1">[1]A!#REF!</definedName>
    <definedName name="__123Graph_F" localSheetId="22" hidden="1">[1]A!#REF!</definedName>
    <definedName name="__123Graph_F" localSheetId="21" hidden="1">[1]A!#REF!</definedName>
    <definedName name="__123Graph_F" localSheetId="23" hidden="1">[1]A!#REF!</definedName>
    <definedName name="__123Graph_F" localSheetId="24" hidden="1">[1]A!#REF!</definedName>
    <definedName name="__123Graph_F" localSheetId="26" hidden="1">[1]A!#REF!</definedName>
    <definedName name="__123Graph_F" hidden="1">[1]A!#REF!</definedName>
    <definedName name="_Key1" localSheetId="14" hidden="1">#REF!</definedName>
    <definedName name="_Key1" localSheetId="33" hidden="1">#REF!</definedName>
    <definedName name="_Key1" localSheetId="4" hidden="1">#REF!</definedName>
    <definedName name="_Key1" localSheetId="5" hidden="1">#REF!</definedName>
    <definedName name="_Key1" localSheetId="7" hidden="1">#REF!</definedName>
    <definedName name="_Key1" localSheetId="8" hidden="1">#REF!</definedName>
    <definedName name="_Key1" localSheetId="19" hidden="1">#REF!</definedName>
    <definedName name="_Key1" localSheetId="27" hidden="1">#REF!</definedName>
    <definedName name="_Key1" localSheetId="25" hidden="1">#REF!</definedName>
    <definedName name="_Key1" localSheetId="20" hidden="1">#REF!</definedName>
    <definedName name="_Key1" localSheetId="22" hidden="1">#REF!</definedName>
    <definedName name="_Key1" localSheetId="21" hidden="1">#REF!</definedName>
    <definedName name="_Key1" localSheetId="23" hidden="1">#REF!</definedName>
    <definedName name="_Key1" localSheetId="24" hidden="1">#REF!</definedName>
    <definedName name="_Key1" localSheetId="26" hidden="1">#REF!</definedName>
    <definedName name="_Key1" hidden="1">#REF!</definedName>
    <definedName name="_Order1" hidden="1">255</definedName>
    <definedName name="_Order2" hidden="1">255</definedName>
    <definedName name="_Sort" localSheetId="14" hidden="1">#REF!</definedName>
    <definedName name="_Sort" localSheetId="33" hidden="1">#REF!</definedName>
    <definedName name="_Sort" localSheetId="4" hidden="1">#REF!</definedName>
    <definedName name="_Sort" localSheetId="5" hidden="1">#REF!</definedName>
    <definedName name="_Sort" localSheetId="7" hidden="1">#REF!</definedName>
    <definedName name="_Sort" localSheetId="8" hidden="1">#REF!</definedName>
    <definedName name="_Sort" localSheetId="19" hidden="1">#REF!</definedName>
    <definedName name="_Sort" localSheetId="27" hidden="1">#REF!</definedName>
    <definedName name="_Sort" localSheetId="25" hidden="1">#REF!</definedName>
    <definedName name="_Sort" localSheetId="20" hidden="1">#REF!</definedName>
    <definedName name="_Sort" localSheetId="22" hidden="1">#REF!</definedName>
    <definedName name="_Sort" localSheetId="21" hidden="1">#REF!</definedName>
    <definedName name="_Sort" localSheetId="23" hidden="1">#REF!</definedName>
    <definedName name="_Sort" localSheetId="24" hidden="1">#REF!</definedName>
    <definedName name="_Sort" localSheetId="26" hidden="1">#REF!</definedName>
    <definedName name="_Sort" hidden="1">#REF!</definedName>
    <definedName name="A" localSheetId="31" hidden="1">{#N/A,#N/A,TRUE,"COFTOT"}</definedName>
    <definedName name="A" localSheetId="32" hidden="1">{#N/A,#N/A,TRUE,"COFTOT"}</definedName>
    <definedName name="A" localSheetId="22" hidden="1">{#N/A,#N/A,TRUE,"COFTOT"}</definedName>
    <definedName name="A" hidden="1">{#N/A,#N/A,TRUE,"COFTOT"}</definedName>
    <definedName name="AS2DocOpenMode" hidden="1">"AS2DocumentEdit"</definedName>
    <definedName name="ds" localSheetId="31" hidden="1">{#N/A,#N/A,TRUE,"COFTOT"}</definedName>
    <definedName name="ds" localSheetId="32" hidden="1">{#N/A,#N/A,TRUE,"COFTOT"}</definedName>
    <definedName name="ds" localSheetId="22" hidden="1">{#N/A,#N/A,TRUE,"COFTOT"}</definedName>
    <definedName name="ds" hidden="1">{#N/A,#N/A,TRUE,"COFTOT"}</definedName>
    <definedName name="JUNIO" localSheetId="31" hidden="1">{#N/A,#N/A,FALSE,"FECU_UF_PESOS"}</definedName>
    <definedName name="JUNIO" localSheetId="32" hidden="1">{#N/A,#N/A,FALSE,"FECU_UF_PESOS"}</definedName>
    <definedName name="JUNIO" localSheetId="22" hidden="1">{#N/A,#N/A,FALSE,"FECU_UF_PESOS"}</definedName>
    <definedName name="JUNIO" hidden="1">{#N/A,#N/A,FALSE,"FECU_UF_PESOS"}</definedName>
    <definedName name="publicG" localSheetId="31" hidden="1">{#N/A,#N/A,TRUE,"COFTOT"}</definedName>
    <definedName name="publicG" localSheetId="32" hidden="1">{#N/A,#N/A,TRUE,"COFTOT"}</definedName>
    <definedName name="publicG" localSheetId="22" hidden="1">{#N/A,#N/A,TRUE,"COFTOT"}</definedName>
    <definedName name="publicG" hidden="1">{#N/A,#N/A,TRUE,"COFTOT"}</definedName>
    <definedName name="sd" localSheetId="31" hidden="1">{#N/A,#N/A,TRUE,"COFTOT"}</definedName>
    <definedName name="sd" localSheetId="32" hidden="1">{#N/A,#N/A,TRUE,"COFTOT"}</definedName>
    <definedName name="sd" localSheetId="22" hidden="1">{#N/A,#N/A,TRUE,"COFTOT"}</definedName>
    <definedName name="sd" hidden="1">{#N/A,#N/A,TRUE,"COFTOT"}</definedName>
    <definedName name="uf">'Cap II Patrim Disponible'!$F$13</definedName>
    <definedName name="wrn.imprim." localSheetId="31" hidden="1">{#N/A,#N/A,TRUE,"COFTOT"}</definedName>
    <definedName name="wrn.imprim." localSheetId="32" hidden="1">{#N/A,#N/A,TRUE,"COFTOT"}</definedName>
    <definedName name="wrn.imprim." localSheetId="22" hidden="1">{#N/A,#N/A,TRUE,"COFTOT"}</definedName>
    <definedName name="wrn.imprim." hidden="1">{#N/A,#N/A,TRUE,"COFTOT"}</definedName>
    <definedName name="wrn.imprim2" localSheetId="31" hidden="1">{#N/A,#N/A,TRUE,"COFTOT"}</definedName>
    <definedName name="wrn.imprim2" localSheetId="32" hidden="1">{#N/A,#N/A,TRUE,"COFTOT"}</definedName>
    <definedName name="wrn.imprim2" localSheetId="22" hidden="1">{#N/A,#N/A,TRUE,"COFTOT"}</definedName>
    <definedName name="wrn.imprim2" hidden="1">{#N/A,#N/A,TRUE,"COFTOT"}</definedName>
    <definedName name="wrn.Prod_Inversiones_en._.UF." localSheetId="31" hidden="1">{#N/A,#N/A,FALSE,"FECU_UF_PESOS"}</definedName>
    <definedName name="wrn.Prod_Inversiones_en._.UF." localSheetId="32" hidden="1">{#N/A,#N/A,FALSE,"FECU_UF_PESOS"}</definedName>
    <definedName name="wrn.Prod_Inversiones_en._.UF." localSheetId="22" hidden="1">{#N/A,#N/A,FALSE,"FECU_UF_PESOS"}</definedName>
    <definedName name="wrn.Prod_Inversiones_en._.UF." hidden="1">{#N/A,#N/A,FALSE,"FECU_UF_PESOS"}</definedName>
    <definedName name="x" localSheetId="31" hidden="1">{#N/A,#N/A,TRUE,"COFTOT"}</definedName>
    <definedName name="x" localSheetId="32" hidden="1">{#N/A,#N/A,TRUE,"COFTOT"}</definedName>
    <definedName name="x" localSheetId="22" hidden="1">{#N/A,#N/A,TRUE,"COFTOT"}</definedName>
    <definedName name="x" hidden="1">{#N/A,#N/A,TRUE,"COFTOT"}</definedName>
    <definedName name="y" localSheetId="31" hidden="1">{#N/A,#N/A,TRUE,"COFTOT"}</definedName>
    <definedName name="y" localSheetId="32" hidden="1">{#N/A,#N/A,TRUE,"COFTOT"}</definedName>
    <definedName name="y" localSheetId="22" hidden="1">{#N/A,#N/A,TRUE,"COFTOT"}</definedName>
    <definedName name="y" hidden="1">{#N/A,#N/A,TRUE,"COFTOT"}</definedName>
    <definedName name="z" localSheetId="31" hidden="1">{#N/A,#N/A,TRUE,"COFTOT"}</definedName>
    <definedName name="z" localSheetId="32" hidden="1">{#N/A,#N/A,TRUE,"COFTOT"}</definedName>
    <definedName name="z" localSheetId="22" hidden="1">{#N/A,#N/A,TRUE,"COFTOT"}</definedName>
    <definedName name="z" hidden="1">{#N/A,#N/A,TRUE,"COFTOT"}</definedName>
  </definedNames>
  <calcPr calcId="145621"/>
</workbook>
</file>

<file path=xl/calcChain.xml><?xml version="1.0" encoding="utf-8"?>
<calcChain xmlns="http://schemas.openxmlformats.org/spreadsheetml/2006/main">
  <c r="C36" i="39" l="1"/>
  <c r="C27" i="39"/>
  <c r="C34" i="39" l="1"/>
  <c r="C25" i="39"/>
  <c r="E16" i="8" l="1"/>
  <c r="C5" i="53"/>
  <c r="C72" i="6"/>
  <c r="C70" i="6"/>
  <c r="C71" i="6"/>
  <c r="C9" i="53" l="1"/>
  <c r="J7" i="26" l="1"/>
  <c r="J8" i="26"/>
  <c r="C27" i="56" l="1"/>
  <c r="C29" i="56"/>
  <c r="C28" i="56"/>
  <c r="B6" i="61" l="1"/>
  <c r="B7" i="61" s="1"/>
  <c r="B8" i="61" s="1"/>
  <c r="B9" i="61" s="1"/>
  <c r="B10" i="61" s="1"/>
  <c r="B11" i="61" s="1"/>
  <c r="B12" i="61" s="1"/>
  <c r="B13" i="61" s="1"/>
  <c r="B14" i="61" s="1"/>
  <c r="B15" i="61" s="1"/>
  <c r="B16" i="61" s="1"/>
  <c r="B17" i="61" s="1"/>
  <c r="B18" i="61" s="1"/>
  <c r="B19" i="61" s="1"/>
  <c r="B20" i="61" s="1"/>
  <c r="B21" i="61" s="1"/>
  <c r="B22" i="61" s="1"/>
  <c r="B23" i="61" s="1"/>
  <c r="B24" i="61" s="1"/>
  <c r="B25" i="61" s="1"/>
  <c r="B26" i="61" s="1"/>
  <c r="B27" i="61" s="1"/>
  <c r="B28" i="61" s="1"/>
  <c r="B29" i="61" s="1"/>
  <c r="C7" i="41" l="1"/>
  <c r="F14" i="41" l="1"/>
  <c r="F9" i="41"/>
  <c r="D17" i="6" l="1"/>
  <c r="C17" i="6"/>
  <c r="D19" i="26"/>
  <c r="D25" i="26"/>
  <c r="J13" i="26" l="1"/>
  <c r="C33" i="33" l="1"/>
  <c r="G15" i="8" l="1"/>
  <c r="F15" i="8"/>
  <c r="E15" i="8"/>
  <c r="D15" i="8"/>
  <c r="C15" i="8"/>
  <c r="D7" i="62" l="1"/>
  <c r="C7" i="62"/>
  <c r="D6" i="62"/>
  <c r="C6" i="62"/>
  <c r="F6" i="62" s="1"/>
  <c r="C12" i="62" l="1"/>
  <c r="E12" i="62" s="1"/>
  <c r="C16" i="42" s="1"/>
  <c r="F7" i="62"/>
  <c r="C9" i="48" l="1"/>
  <c r="C8" i="39" l="1"/>
  <c r="D5" i="43" l="1"/>
  <c r="D7" i="43"/>
  <c r="C43" i="39" l="1"/>
  <c r="E17" i="8" l="1"/>
  <c r="E13" i="8"/>
  <c r="E18" i="8" l="1"/>
  <c r="E20" i="8" s="1"/>
  <c r="C7" i="8" s="1"/>
  <c r="C6" i="39"/>
  <c r="C7" i="39" l="1"/>
  <c r="C13" i="8" l="1"/>
  <c r="H13" i="8"/>
  <c r="H15" i="8" l="1"/>
  <c r="H16" i="8" s="1"/>
  <c r="C38" i="33" l="1"/>
  <c r="M6" i="18"/>
  <c r="K6" i="18"/>
  <c r="J6" i="18"/>
  <c r="C37" i="33"/>
  <c r="C17" i="60" l="1"/>
  <c r="E8" i="60"/>
  <c r="D8" i="60"/>
  <c r="C8" i="60"/>
  <c r="F6" i="60"/>
  <c r="C9" i="59"/>
  <c r="F8" i="59"/>
  <c r="F7" i="59"/>
  <c r="F6" i="59"/>
  <c r="F9" i="59" s="1"/>
  <c r="D18" i="58"/>
  <c r="C18" i="58"/>
  <c r="G17" i="58"/>
  <c r="G16" i="58"/>
  <c r="G15" i="58"/>
  <c r="G18" i="58" s="1"/>
  <c r="C10" i="58" s="1"/>
  <c r="C8" i="58"/>
  <c r="C7" i="58"/>
  <c r="F8" i="60" l="1"/>
  <c r="L6" i="18" s="1"/>
  <c r="E24" i="57" l="1"/>
  <c r="E23" i="57"/>
  <c r="C16" i="57"/>
  <c r="F15" i="57"/>
  <c r="E14" i="57"/>
  <c r="F14" i="57" s="1"/>
  <c r="E13" i="57"/>
  <c r="F13" i="57" s="1"/>
  <c r="C6" i="57"/>
  <c r="F16" i="57" l="1"/>
  <c r="C7" i="57" s="1"/>
  <c r="H21" i="3"/>
  <c r="H15" i="3"/>
  <c r="D13" i="8" l="1"/>
  <c r="C17" i="8"/>
  <c r="I17" i="8" s="1"/>
  <c r="C30" i="56" l="1"/>
  <c r="D29" i="56" s="1"/>
  <c r="E29" i="56" s="1"/>
  <c r="D9" i="35"/>
  <c r="D27" i="56" l="1"/>
  <c r="E27" i="56" s="1"/>
  <c r="C6" i="36" s="1"/>
  <c r="D28" i="56"/>
  <c r="C18" i="35"/>
  <c r="E28" i="56" l="1"/>
  <c r="E30" i="56" s="1"/>
  <c r="D30" i="56"/>
  <c r="D28" i="6"/>
  <c r="D30" i="6" s="1"/>
  <c r="M6" i="10" l="1"/>
  <c r="C11" i="41"/>
  <c r="C9" i="41" l="1"/>
  <c r="C10" i="41" s="1"/>
  <c r="C12" i="41" s="1"/>
  <c r="C24" i="33"/>
  <c r="C25" i="42" l="1"/>
  <c r="G24" i="42"/>
  <c r="G23" i="42"/>
  <c r="G22" i="42"/>
  <c r="G25" i="42" l="1"/>
  <c r="L6" i="36" s="1"/>
  <c r="C7" i="54" s="1"/>
  <c r="C39" i="39"/>
  <c r="C24" i="57" s="1"/>
  <c r="F24" i="57" s="1"/>
  <c r="F29" i="43" l="1"/>
  <c r="E6" i="36" l="1"/>
  <c r="I6" i="36"/>
  <c r="D31" i="26" l="1"/>
  <c r="D30" i="26"/>
  <c r="C31" i="26"/>
  <c r="G30" i="26"/>
  <c r="G31" i="26" s="1"/>
  <c r="J6" i="10"/>
  <c r="C37" i="6"/>
  <c r="C35" i="6"/>
  <c r="F49" i="40" l="1"/>
  <c r="E49" i="40"/>
  <c r="D49" i="40"/>
  <c r="F48" i="40"/>
  <c r="F47" i="40"/>
  <c r="K6" i="36"/>
  <c r="E34" i="49"/>
  <c r="E33" i="49"/>
  <c r="E63" i="46"/>
  <c r="E47" i="49"/>
  <c r="J6" i="36" l="1"/>
  <c r="E48" i="49"/>
  <c r="E50" i="49" s="1"/>
  <c r="F6" i="36" l="1"/>
  <c r="H34" i="28" l="1"/>
  <c r="H33" i="28"/>
  <c r="H32" i="28"/>
  <c r="H28" i="28"/>
  <c r="H27" i="28"/>
  <c r="H26" i="28"/>
  <c r="H22" i="28"/>
  <c r="H21" i="28"/>
  <c r="H16" i="28"/>
  <c r="H15" i="28"/>
  <c r="H14" i="28"/>
  <c r="H10" i="28"/>
  <c r="H9" i="28"/>
  <c r="H8" i="28"/>
  <c r="G14" i="41" l="1"/>
  <c r="C25" i="33"/>
  <c r="G9" i="41"/>
  <c r="G15" i="39" l="1"/>
  <c r="G14" i="39"/>
  <c r="I11" i="39" l="1"/>
  <c r="I8" i="39"/>
  <c r="C14" i="51" l="1"/>
  <c r="C39" i="33"/>
  <c r="C19" i="33"/>
  <c r="C35" i="33" l="1"/>
  <c r="C8" i="42" l="1"/>
  <c r="C9" i="42" s="1"/>
  <c r="D13" i="40" l="1"/>
  <c r="F10" i="41" l="1"/>
  <c r="G10" i="41" s="1"/>
  <c r="C13" i="41" s="1"/>
  <c r="F15" i="41"/>
  <c r="G15" i="41" s="1"/>
  <c r="C14" i="41" s="1"/>
  <c r="C15" i="41" l="1"/>
  <c r="K6" i="10" s="1"/>
  <c r="F3" i="39"/>
  <c r="K23" i="39" l="1"/>
  <c r="K18" i="39"/>
  <c r="K22" i="39"/>
  <c r="K17" i="39"/>
  <c r="F4" i="39"/>
  <c r="M18" i="39" l="1"/>
  <c r="O18" i="39" s="1"/>
  <c r="M17" i="39"/>
  <c r="M22" i="39"/>
  <c r="M23" i="39"/>
  <c r="O23" i="39"/>
  <c r="O17" i="39"/>
  <c r="O22" i="39"/>
  <c r="K19" i="39"/>
  <c r="K24" i="39"/>
  <c r="M19" i="39" l="1"/>
  <c r="O19" i="39" s="1"/>
  <c r="M24" i="39"/>
  <c r="C38" i="39"/>
  <c r="C30" i="39"/>
  <c r="C23" i="57" s="1"/>
  <c r="C25" i="57" l="1"/>
  <c r="D6" i="57" s="1"/>
  <c r="E6" i="57" s="1"/>
  <c r="F23" i="57"/>
  <c r="F25" i="57" s="1"/>
  <c r="D7" i="57" s="1"/>
  <c r="E7" i="57" s="1"/>
  <c r="I6" i="18" s="1"/>
  <c r="O24" i="39"/>
  <c r="C9" i="39" s="1"/>
  <c r="C10" i="39" s="1"/>
  <c r="C40" i="39"/>
  <c r="H33" i="11" l="1"/>
  <c r="C32" i="33" s="1"/>
  <c r="D47" i="47" l="1"/>
  <c r="E47" i="47"/>
  <c r="F47" i="47"/>
  <c r="C47" i="47"/>
  <c r="D68" i="46" l="1"/>
  <c r="F61" i="46"/>
  <c r="E61" i="46"/>
  <c r="C61" i="46"/>
  <c r="C54" i="46"/>
  <c r="D47" i="46"/>
  <c r="C47" i="46"/>
  <c r="F27" i="46"/>
  <c r="E27" i="46"/>
  <c r="D33" i="46"/>
  <c r="C27" i="46"/>
  <c r="C62" i="46"/>
  <c r="E33" i="46"/>
  <c r="E34" i="46" l="1"/>
  <c r="D69" i="46"/>
  <c r="D71" i="46" s="1"/>
  <c r="D34" i="46" s="1"/>
  <c r="E62" i="46" l="1"/>
  <c r="E64" i="46" s="1"/>
  <c r="E28" i="46" s="1"/>
  <c r="F62" i="46"/>
  <c r="F64" i="46" s="1"/>
  <c r="F28" i="46" s="1"/>
  <c r="C64" i="46"/>
  <c r="C28" i="46" s="1"/>
  <c r="C21" i="46"/>
  <c r="C55" i="46"/>
  <c r="C57" i="46" s="1"/>
  <c r="C22" i="46" s="1"/>
  <c r="D15" i="46"/>
  <c r="C15" i="46"/>
  <c r="D48" i="46"/>
  <c r="D50" i="46" s="1"/>
  <c r="D16" i="46" s="1"/>
  <c r="C48" i="46"/>
  <c r="C50" i="46" s="1"/>
  <c r="C16" i="46" s="1"/>
  <c r="F27" i="47" l="1"/>
  <c r="E27" i="47"/>
  <c r="D27" i="47"/>
  <c r="C27" i="47"/>
  <c r="D49" i="47" l="1"/>
  <c r="D51" i="47" s="1"/>
  <c r="D28" i="47" s="1"/>
  <c r="E49" i="47"/>
  <c r="E51" i="47" s="1"/>
  <c r="E28" i="47" s="1"/>
  <c r="F49" i="47"/>
  <c r="F51" i="47" s="1"/>
  <c r="F28" i="47" s="1"/>
  <c r="C49" i="47"/>
  <c r="C51" i="47" s="1"/>
  <c r="C28" i="47" s="1"/>
  <c r="H17" i="3"/>
  <c r="C16" i="3" s="1"/>
  <c r="C33" i="3"/>
  <c r="C28" i="3"/>
  <c r="C27" i="3"/>
  <c r="C21" i="3"/>
  <c r="C15" i="3"/>
  <c r="H33" i="3"/>
  <c r="H35" i="3" s="1"/>
  <c r="C34" i="3" s="1"/>
  <c r="H27" i="3"/>
  <c r="H29" i="3" s="1"/>
  <c r="H23" i="3"/>
  <c r="C22" i="3" s="1"/>
  <c r="H9" i="35" l="1"/>
  <c r="C9" i="35"/>
  <c r="F20" i="28"/>
  <c r="H20" i="28" s="1"/>
  <c r="G70" i="6" l="1"/>
  <c r="G69" i="6"/>
  <c r="G72" i="6"/>
  <c r="C28" i="6"/>
  <c r="C30" i="6" s="1"/>
  <c r="D21" i="6"/>
  <c r="C21" i="6"/>
  <c r="D16" i="6"/>
  <c r="C16" i="6"/>
  <c r="E25" i="33" l="1"/>
  <c r="E24" i="33"/>
  <c r="D19" i="33"/>
  <c r="D18" i="33"/>
  <c r="J32" i="11"/>
  <c r="J31" i="11"/>
  <c r="J30" i="11"/>
  <c r="J29" i="11"/>
  <c r="J28" i="11"/>
  <c r="J27" i="11"/>
  <c r="J26" i="11"/>
  <c r="J25" i="11"/>
  <c r="J24" i="11"/>
  <c r="J23" i="11"/>
  <c r="J22" i="11"/>
  <c r="J21" i="11"/>
  <c r="J20" i="11"/>
  <c r="J19" i="11"/>
  <c r="J18" i="11"/>
  <c r="J17" i="11"/>
  <c r="J16" i="11"/>
  <c r="J15" i="11"/>
  <c r="J14" i="11"/>
  <c r="E30" i="11"/>
  <c r="E28" i="11"/>
  <c r="E14" i="11"/>
  <c r="D20" i="33" l="1"/>
  <c r="J33" i="11"/>
  <c r="E16" i="51" l="1"/>
  <c r="D16" i="51"/>
  <c r="C16" i="51"/>
  <c r="E44" i="40"/>
  <c r="C47" i="39" l="1"/>
  <c r="L6" i="10" s="1"/>
  <c r="D10" i="42" l="1"/>
  <c r="H6" i="36" s="1"/>
  <c r="C10" i="42"/>
  <c r="G6" i="36" s="1"/>
  <c r="E9" i="42"/>
  <c r="E8" i="42"/>
  <c r="C5" i="54" l="1"/>
  <c r="C4" i="54"/>
  <c r="G16" i="19"/>
  <c r="H16" i="19"/>
  <c r="D16" i="19"/>
  <c r="C16" i="19"/>
  <c r="F16" i="51"/>
  <c r="C8" i="51" s="1"/>
  <c r="G6" i="18" s="1"/>
  <c r="F14" i="51"/>
  <c r="C7" i="51" s="1"/>
  <c r="C34" i="33" s="1"/>
  <c r="D7" i="11"/>
  <c r="D6" i="18" s="1"/>
  <c r="F35" i="50" l="1"/>
  <c r="E35" i="50"/>
  <c r="D35" i="50"/>
  <c r="C35" i="50"/>
  <c r="G35" i="50" s="1"/>
  <c r="F9" i="50" s="1"/>
  <c r="G34" i="50"/>
  <c r="G33" i="50"/>
  <c r="F7" i="50" s="1"/>
  <c r="F29" i="50"/>
  <c r="E29" i="50"/>
  <c r="D29" i="50"/>
  <c r="C29" i="50"/>
  <c r="G29" i="50" s="1"/>
  <c r="E9" i="50" s="1"/>
  <c r="G28" i="50"/>
  <c r="E8" i="50" s="1"/>
  <c r="G27" i="50"/>
  <c r="E7" i="50" s="1"/>
  <c r="F23" i="50"/>
  <c r="E23" i="50"/>
  <c r="D23" i="50"/>
  <c r="C23" i="50"/>
  <c r="G23" i="50" s="1"/>
  <c r="D9" i="50" s="1"/>
  <c r="G22" i="50"/>
  <c r="G21" i="50"/>
  <c r="F17" i="50"/>
  <c r="E17" i="50"/>
  <c r="D17" i="50"/>
  <c r="C17" i="50"/>
  <c r="G17" i="50" s="1"/>
  <c r="C9" i="50" s="1"/>
  <c r="G9" i="50" s="1"/>
  <c r="G16" i="50"/>
  <c r="C8" i="50" s="1"/>
  <c r="G8" i="50" s="1"/>
  <c r="G15" i="50"/>
  <c r="F8" i="50"/>
  <c r="D8" i="50"/>
  <c r="D7" i="50"/>
  <c r="C7" i="50"/>
  <c r="F35" i="49"/>
  <c r="E35" i="49"/>
  <c r="D35" i="49"/>
  <c r="C35" i="49"/>
  <c r="G35" i="49" s="1"/>
  <c r="F9" i="49" s="1"/>
  <c r="G34" i="49"/>
  <c r="F8" i="49" s="1"/>
  <c r="G33" i="49"/>
  <c r="F7" i="49" s="1"/>
  <c r="F29" i="49"/>
  <c r="E29" i="49"/>
  <c r="D29" i="49"/>
  <c r="C29" i="49"/>
  <c r="G29" i="49" s="1"/>
  <c r="E9" i="49" s="1"/>
  <c r="G28" i="49"/>
  <c r="G27" i="49"/>
  <c r="E7" i="49" s="1"/>
  <c r="F23" i="49"/>
  <c r="E23" i="49"/>
  <c r="D23" i="49"/>
  <c r="C23" i="49"/>
  <c r="G23" i="49" s="1"/>
  <c r="D9" i="49" s="1"/>
  <c r="G22" i="49"/>
  <c r="D8" i="49" s="1"/>
  <c r="G21" i="49"/>
  <c r="F17" i="49"/>
  <c r="E17" i="49"/>
  <c r="D17" i="49"/>
  <c r="C17" i="49"/>
  <c r="G17" i="49" s="1"/>
  <c r="C9" i="49" s="1"/>
  <c r="G16" i="49"/>
  <c r="C8" i="49" s="1"/>
  <c r="G15" i="49"/>
  <c r="C7" i="49" s="1"/>
  <c r="E8" i="49"/>
  <c r="D7" i="49"/>
  <c r="C35" i="48"/>
  <c r="D35" i="48" s="1"/>
  <c r="F9" i="48" s="1"/>
  <c r="D34" i="48"/>
  <c r="F8" i="48" s="1"/>
  <c r="D33" i="48"/>
  <c r="F7" i="48" s="1"/>
  <c r="C29" i="48"/>
  <c r="D29" i="48" s="1"/>
  <c r="E9" i="48" s="1"/>
  <c r="D28" i="48"/>
  <c r="D27" i="48"/>
  <c r="E7" i="48" s="1"/>
  <c r="C23" i="48"/>
  <c r="D23" i="48" s="1"/>
  <c r="D9" i="48" s="1"/>
  <c r="D22" i="48"/>
  <c r="D21" i="48"/>
  <c r="D7" i="48" s="1"/>
  <c r="C17" i="48"/>
  <c r="D17" i="48" s="1"/>
  <c r="D16" i="48"/>
  <c r="C8" i="48" s="1"/>
  <c r="D15" i="48"/>
  <c r="C7" i="48" s="1"/>
  <c r="E8" i="48"/>
  <c r="D8" i="48"/>
  <c r="G8" i="49" l="1"/>
  <c r="G7" i="49"/>
  <c r="G9" i="49"/>
  <c r="G9" i="48"/>
  <c r="E6" i="10" s="1"/>
  <c r="G7" i="48"/>
  <c r="G8" i="48"/>
  <c r="G7" i="50"/>
  <c r="F35" i="47"/>
  <c r="E35" i="47"/>
  <c r="D35" i="47"/>
  <c r="C35" i="47"/>
  <c r="G35" i="47" s="1"/>
  <c r="F9" i="47" s="1"/>
  <c r="G34" i="47"/>
  <c r="G33" i="47"/>
  <c r="F29" i="47"/>
  <c r="E29" i="47"/>
  <c r="D29" i="47"/>
  <c r="C29" i="47"/>
  <c r="G28" i="47"/>
  <c r="E8" i="47" s="1"/>
  <c r="G27" i="47"/>
  <c r="F23" i="47"/>
  <c r="E23" i="47"/>
  <c r="D23" i="47"/>
  <c r="C23" i="47"/>
  <c r="G23" i="47" s="1"/>
  <c r="D9" i="47" s="1"/>
  <c r="G22" i="47"/>
  <c r="D8" i="47" s="1"/>
  <c r="G21" i="47"/>
  <c r="F17" i="47"/>
  <c r="E17" i="47"/>
  <c r="D17" i="47"/>
  <c r="C17" i="47"/>
  <c r="G17" i="47" s="1"/>
  <c r="C9" i="47" s="1"/>
  <c r="G16" i="47"/>
  <c r="C8" i="47" s="1"/>
  <c r="G15" i="47"/>
  <c r="C7" i="47" s="1"/>
  <c r="F8" i="47"/>
  <c r="F7" i="47"/>
  <c r="E7" i="47"/>
  <c r="D7" i="47"/>
  <c r="F35" i="46"/>
  <c r="E35" i="46"/>
  <c r="D35" i="46"/>
  <c r="C35" i="46"/>
  <c r="G34" i="46"/>
  <c r="F8" i="46" s="1"/>
  <c r="G33" i="46"/>
  <c r="F7" i="46" s="1"/>
  <c r="F29" i="46"/>
  <c r="E29" i="46"/>
  <c r="D29" i="46"/>
  <c r="C29" i="46"/>
  <c r="G28" i="46"/>
  <c r="E8" i="46" s="1"/>
  <c r="G27" i="46"/>
  <c r="E7" i="46" s="1"/>
  <c r="F23" i="46"/>
  <c r="E23" i="46"/>
  <c r="D23" i="46"/>
  <c r="C23" i="46"/>
  <c r="G22" i="46"/>
  <c r="D8" i="46" s="1"/>
  <c r="G21" i="46"/>
  <c r="D7" i="46" s="1"/>
  <c r="F17" i="46"/>
  <c r="E17" i="46"/>
  <c r="D17" i="46"/>
  <c r="C17" i="46"/>
  <c r="G16" i="46"/>
  <c r="C8" i="46" s="1"/>
  <c r="G15" i="46"/>
  <c r="C7" i="46"/>
  <c r="F9" i="27"/>
  <c r="F8" i="27"/>
  <c r="G7" i="46" l="1"/>
  <c r="G29" i="47"/>
  <c r="E9" i="47" s="1"/>
  <c r="G9" i="47" s="1"/>
  <c r="G8" i="47"/>
  <c r="G7" i="47"/>
  <c r="G23" i="46"/>
  <c r="D9" i="46" s="1"/>
  <c r="G35" i="46"/>
  <c r="F9" i="46" s="1"/>
  <c r="G8" i="46"/>
  <c r="G17" i="46"/>
  <c r="C9" i="46" s="1"/>
  <c r="G29" i="46"/>
  <c r="E9" i="46" s="1"/>
  <c r="C14" i="45"/>
  <c r="C16" i="45" l="1"/>
  <c r="C7" i="45" s="1"/>
  <c r="H6" i="18" s="1"/>
  <c r="C36" i="33"/>
  <c r="G9" i="46"/>
  <c r="C6" i="45"/>
  <c r="F13" i="40"/>
  <c r="E13" i="40"/>
  <c r="F33" i="43" l="1"/>
  <c r="F31" i="43"/>
  <c r="E10" i="42"/>
  <c r="G12" i="40"/>
  <c r="I7" i="35" s="1"/>
  <c r="C45" i="39"/>
  <c r="C29" i="39"/>
  <c r="F16" i="19"/>
  <c r="E16" i="19"/>
  <c r="C31" i="39" l="1"/>
  <c r="F27" i="43"/>
  <c r="C48" i="39" l="1"/>
  <c r="C49" i="39" s="1"/>
  <c r="D6" i="36" l="1"/>
  <c r="C6" i="54" l="1"/>
  <c r="M6" i="36"/>
  <c r="H8" i="6"/>
  <c r="H7" i="6"/>
  <c r="E35" i="28"/>
  <c r="D35" i="28"/>
  <c r="E29" i="28"/>
  <c r="D29" i="28"/>
  <c r="E23" i="28"/>
  <c r="D23" i="28"/>
  <c r="E17" i="28"/>
  <c r="D17" i="28"/>
  <c r="E11" i="28"/>
  <c r="E37" i="28" s="1"/>
  <c r="D11" i="28"/>
  <c r="H29" i="28"/>
  <c r="F16" i="28"/>
  <c r="F15" i="28"/>
  <c r="F14" i="28"/>
  <c r="H11" i="28"/>
  <c r="F34" i="28"/>
  <c r="F33" i="28"/>
  <c r="F35" i="28" s="1"/>
  <c r="F32" i="28"/>
  <c r="F28" i="28"/>
  <c r="F27" i="28"/>
  <c r="F29" i="28" s="1"/>
  <c r="F26" i="28"/>
  <c r="F22" i="28"/>
  <c r="F21" i="28"/>
  <c r="F23" i="28" s="1"/>
  <c r="F10" i="28"/>
  <c r="F9" i="28"/>
  <c r="F11" i="28" s="1"/>
  <c r="F8" i="28"/>
  <c r="C26" i="8"/>
  <c r="C28" i="8" s="1"/>
  <c r="G7" i="8" s="1"/>
  <c r="D26" i="8"/>
  <c r="D28" i="8" s="1"/>
  <c r="H7" i="8" s="1"/>
  <c r="G20" i="8"/>
  <c r="E7" i="8" s="1"/>
  <c r="C35" i="3"/>
  <c r="C29" i="3"/>
  <c r="C23" i="3"/>
  <c r="F20" i="8" l="1"/>
  <c r="D7" i="8" s="1"/>
  <c r="H20" i="8"/>
  <c r="F7" i="8" s="1"/>
  <c r="I16" i="8"/>
  <c r="D37" i="28"/>
  <c r="H9" i="6"/>
  <c r="H35" i="28"/>
  <c r="H23" i="28"/>
  <c r="F17" i="28"/>
  <c r="F37" i="28" s="1"/>
  <c r="H17" i="28"/>
  <c r="C17" i="3"/>
  <c r="G27" i="26"/>
  <c r="G20" i="26"/>
  <c r="G15" i="26"/>
  <c r="D27" i="26"/>
  <c r="D26" i="26"/>
  <c r="G26" i="26" s="1"/>
  <c r="G25" i="26"/>
  <c r="D21" i="26"/>
  <c r="G21" i="26" s="1"/>
  <c r="D20" i="26"/>
  <c r="G19" i="26"/>
  <c r="D15" i="26"/>
  <c r="D14" i="26"/>
  <c r="G14" i="26" s="1"/>
  <c r="D13" i="26"/>
  <c r="G13" i="26" s="1"/>
  <c r="D9" i="26"/>
  <c r="G9" i="26" s="1"/>
  <c r="D8" i="26"/>
  <c r="G8" i="26" s="1"/>
  <c r="D7" i="26"/>
  <c r="H37" i="28" l="1"/>
  <c r="E9" i="27"/>
  <c r="G9" i="27" s="1"/>
  <c r="G8" i="27"/>
  <c r="E8" i="27"/>
  <c r="C26" i="33"/>
  <c r="E26" i="33" s="1"/>
  <c r="C13" i="33" s="1"/>
  <c r="G30" i="6" l="1"/>
  <c r="G28" i="6"/>
  <c r="D8" i="6" s="1"/>
  <c r="G27" i="6"/>
  <c r="D7" i="6" s="1"/>
  <c r="D35" i="3"/>
  <c r="F9" i="3" s="1"/>
  <c r="D34" i="3"/>
  <c r="F8" i="3" s="1"/>
  <c r="D33" i="3"/>
  <c r="F7" i="3" s="1"/>
  <c r="D29" i="3"/>
  <c r="E9" i="3" s="1"/>
  <c r="D28" i="3"/>
  <c r="E8" i="3" s="1"/>
  <c r="D27" i="3"/>
  <c r="E7" i="3" s="1"/>
  <c r="D9" i="6" l="1"/>
  <c r="F60" i="6"/>
  <c r="F63" i="6"/>
  <c r="F61" i="6" l="1"/>
  <c r="I16" i="19" l="1"/>
  <c r="C7" i="19" s="1"/>
  <c r="I14" i="19"/>
  <c r="C6" i="19" s="1"/>
  <c r="D6" i="19" s="1"/>
  <c r="E18" i="33" l="1"/>
  <c r="C8" i="30"/>
  <c r="E6" i="18" s="1"/>
  <c r="F6" i="18"/>
  <c r="D7" i="19"/>
  <c r="I6" i="10"/>
  <c r="E25" i="8"/>
  <c r="I14" i="8"/>
  <c r="G47" i="6"/>
  <c r="G7" i="6" s="1"/>
  <c r="G41" i="6"/>
  <c r="G34" i="6"/>
  <c r="E7" i="6" s="1"/>
  <c r="E19" i="33" l="1"/>
  <c r="G49" i="6"/>
  <c r="G48" i="6"/>
  <c r="G8" i="6" s="1"/>
  <c r="G9" i="6" s="1"/>
  <c r="G43" i="6"/>
  <c r="G42" i="6"/>
  <c r="G35" i="6"/>
  <c r="E8" i="6" s="1"/>
  <c r="E9" i="6" s="1"/>
  <c r="G37" i="6"/>
  <c r="D10" i="27" l="1"/>
  <c r="G15" i="6" l="1"/>
  <c r="G16" i="6"/>
  <c r="C8" i="6" s="1"/>
  <c r="F53" i="6"/>
  <c r="F7" i="6" s="1"/>
  <c r="G21" i="6"/>
  <c r="C7" i="6" l="1"/>
  <c r="C9" i="6" s="1"/>
  <c r="F9" i="6"/>
  <c r="F54" i="6"/>
  <c r="F8" i="6" s="1"/>
  <c r="F56" i="6"/>
  <c r="I7" i="6"/>
  <c r="C40" i="33" s="1"/>
  <c r="I9" i="6" l="1"/>
  <c r="G6" i="10" s="1"/>
  <c r="I8" i="6"/>
  <c r="C10" i="27"/>
  <c r="D16" i="3"/>
  <c r="C8" i="3" s="1"/>
  <c r="D17" i="3" l="1"/>
  <c r="C9" i="3" s="1"/>
  <c r="D22" i="3"/>
  <c r="D23" i="3"/>
  <c r="D9" i="3" s="1"/>
  <c r="D21" i="3"/>
  <c r="D7" i="3" s="1"/>
  <c r="D15" i="3"/>
  <c r="C7" i="3" s="1"/>
  <c r="D28" i="26"/>
  <c r="C28" i="26"/>
  <c r="C22" i="26"/>
  <c r="C16" i="26"/>
  <c r="C10" i="26"/>
  <c r="C33" i="26" l="1"/>
  <c r="C30" i="33" s="1"/>
  <c r="D8" i="3"/>
  <c r="G8" i="3" s="1"/>
  <c r="G9" i="3"/>
  <c r="G7" i="3"/>
  <c r="D6" i="10" l="1"/>
  <c r="C6" i="53" s="1"/>
  <c r="I13" i="8"/>
  <c r="G28" i="26"/>
  <c r="D16" i="26"/>
  <c r="D10" i="26"/>
  <c r="E24" i="8" l="1"/>
  <c r="I15" i="8"/>
  <c r="G7" i="26"/>
  <c r="G10" i="26" s="1"/>
  <c r="D22" i="26"/>
  <c r="D33" i="26" s="1"/>
  <c r="G16" i="26"/>
  <c r="J6" i="26" l="1"/>
  <c r="E26" i="8"/>
  <c r="G22" i="26"/>
  <c r="G33" i="26" l="1"/>
  <c r="J27" i="26" a="1"/>
  <c r="K27" i="26" s="1"/>
  <c r="J9" i="26"/>
  <c r="I20" i="8"/>
  <c r="E28" i="8"/>
  <c r="E7" i="27"/>
  <c r="F7" i="27" s="1"/>
  <c r="J27" i="26" l="1"/>
  <c r="L27" i="26"/>
  <c r="I7" i="8"/>
  <c r="E10" i="27"/>
  <c r="F10" i="27"/>
  <c r="G7" i="27"/>
  <c r="G10" i="27" s="1"/>
  <c r="F6" i="10" s="1"/>
  <c r="C7" i="53" s="1"/>
  <c r="J10" i="26" l="1"/>
  <c r="J14" i="26" s="1"/>
  <c r="C6" i="10" s="1"/>
  <c r="H6" i="10"/>
  <c r="C8" i="53" s="1"/>
  <c r="J11" i="26" l="1"/>
  <c r="J12" i="26" s="1"/>
  <c r="I17" i="53" a="1"/>
  <c r="I17" i="53" s="1"/>
  <c r="I15" i="54" a="1"/>
  <c r="C8" i="54"/>
  <c r="C20" i="33"/>
  <c r="E20" i="33" s="1"/>
  <c r="J17" i="53" l="1"/>
  <c r="K17" i="53"/>
  <c r="L17" i="53"/>
  <c r="J15" i="54"/>
  <c r="K15" i="54"/>
  <c r="I15" i="54"/>
  <c r="L15" i="54"/>
  <c r="C12" i="33"/>
  <c r="C14" i="33" s="1"/>
  <c r="C16" i="44" s="1"/>
  <c r="G13" i="40"/>
  <c r="C18" i="44" l="1"/>
  <c r="C9" i="54"/>
  <c r="C10" i="54" s="1"/>
  <c r="I9" i="35"/>
  <c r="C8" i="44" l="1"/>
  <c r="N6" i="10"/>
  <c r="O6" i="10" s="1"/>
  <c r="C10" i="53" l="1"/>
  <c r="C11" i="53"/>
  <c r="C6" i="44" l="1"/>
  <c r="C12" i="53"/>
  <c r="E22" i="11" l="1"/>
  <c r="E24" i="11"/>
  <c r="E31" i="11"/>
  <c r="E26" i="11"/>
  <c r="E25" i="11"/>
  <c r="E32" i="11"/>
  <c r="E16" i="11"/>
  <c r="E23" i="11"/>
  <c r="E19" i="11"/>
  <c r="E29" i="11"/>
  <c r="E27" i="11"/>
  <c r="E18" i="11"/>
  <c r="E21" i="11"/>
  <c r="E20" i="11"/>
  <c r="E15" i="11"/>
  <c r="E17" i="11" l="1"/>
  <c r="E33" i="11" s="1"/>
  <c r="C7" i="11" s="1"/>
  <c r="C33" i="11"/>
  <c r="C31" i="33" s="1"/>
  <c r="C41" i="33" s="1"/>
  <c r="E11" i="33" s="1"/>
  <c r="C17" i="44" l="1"/>
  <c r="F11" i="33"/>
  <c r="E7" i="11"/>
  <c r="C6" i="18"/>
  <c r="N6" i="18" s="1"/>
  <c r="C7" i="44" l="1"/>
  <c r="I6" i="44" l="1" a="1"/>
  <c r="C9" i="44"/>
  <c r="I6" i="44" l="1"/>
  <c r="J6" i="44"/>
  <c r="K6" i="44"/>
  <c r="C10" i="44" l="1"/>
  <c r="D11" i="43" l="1"/>
  <c r="C13" i="44" s="1"/>
  <c r="C14" i="44" s="1"/>
  <c r="C11" i="44"/>
  <c r="C12" i="44" s="1"/>
</calcChain>
</file>

<file path=xl/comments1.xml><?xml version="1.0" encoding="utf-8"?>
<comments xmlns="http://schemas.openxmlformats.org/spreadsheetml/2006/main">
  <authors>
    <author>SVS</author>
  </authors>
  <commentList>
    <comment ref="E7" authorId="0">
      <text>
        <r>
          <rPr>
            <b/>
            <sz val="9"/>
            <color indexed="81"/>
            <rFont val="Tahoma"/>
            <family val="2"/>
          </rPr>
          <t>Factor para el IPSA.</t>
        </r>
      </text>
    </comment>
    <comment ref="E8" authorId="0">
      <text>
        <r>
          <rPr>
            <b/>
            <sz val="9"/>
            <color indexed="81"/>
            <rFont val="Tahoma"/>
            <family val="2"/>
          </rPr>
          <t>Factor para el IPSA.</t>
        </r>
      </text>
    </comment>
    <comment ref="E13" authorId="0">
      <text>
        <r>
          <rPr>
            <b/>
            <sz val="9"/>
            <color indexed="81"/>
            <rFont val="Tahoma"/>
            <family val="2"/>
          </rPr>
          <t>Factor para el Dow Jones.</t>
        </r>
      </text>
    </comment>
    <comment ref="E25" authorId="0">
      <text>
        <r>
          <rPr>
            <b/>
            <sz val="9"/>
            <color indexed="81"/>
            <rFont val="Tahoma"/>
            <family val="2"/>
          </rPr>
          <t>Factor para el Bovespa.</t>
        </r>
      </text>
    </comment>
  </commentList>
</comments>
</file>

<file path=xl/comments10.xml><?xml version="1.0" encoding="utf-8"?>
<comments xmlns="http://schemas.openxmlformats.org/spreadsheetml/2006/main">
  <authors>
    <author>SVS</author>
  </authors>
  <commentList>
    <comment ref="C11" authorId="0">
      <text>
        <r>
          <rPr>
            <b/>
            <sz val="9"/>
            <color indexed="81"/>
            <rFont val="Tahoma"/>
            <family val="2"/>
          </rPr>
          <t>Supuesto:
100% de calce respecto a lo ofrecido al asegurado.</t>
        </r>
      </text>
    </comment>
    <comment ref="D11" authorId="0">
      <text>
        <r>
          <rPr>
            <b/>
            <sz val="9"/>
            <color indexed="81"/>
            <rFont val="Tahoma"/>
            <family val="2"/>
          </rPr>
          <t>Existe un descalce entre el IPSA ofrecido y las acciones que respaldan la obligación.</t>
        </r>
      </text>
    </comment>
    <comment ref="D14" authorId="0">
      <text>
        <r>
          <rPr>
            <b/>
            <sz val="9"/>
            <color indexed="81"/>
            <rFont val="Tahoma"/>
            <family val="2"/>
          </rPr>
          <t>Estimación de la compañía.</t>
        </r>
      </text>
    </comment>
  </commentList>
</comments>
</file>

<file path=xl/comments11.xml><?xml version="1.0" encoding="utf-8"?>
<comments xmlns="http://schemas.openxmlformats.org/spreadsheetml/2006/main">
  <authors>
    <author>SVS</author>
  </authors>
  <commentList>
    <comment ref="C24" authorId="0">
      <text>
        <r>
          <rPr>
            <b/>
            <sz val="9"/>
            <color indexed="81"/>
            <rFont val="Tahoma"/>
            <family val="2"/>
          </rPr>
          <t>Clasificación de riesgo
AA- (0% factor de capital)</t>
        </r>
      </text>
    </comment>
  </commentList>
</comments>
</file>

<file path=xl/comments12.xml><?xml version="1.0" encoding="utf-8"?>
<comments xmlns="http://schemas.openxmlformats.org/spreadsheetml/2006/main">
  <authors>
    <author>SVS</author>
  </authors>
  <commentList>
    <comment ref="D5" authorId="0">
      <text>
        <r>
          <rPr>
            <b/>
            <sz val="9"/>
            <color indexed="81"/>
            <rFont val="Tahoma"/>
            <family val="2"/>
          </rPr>
          <t>Supuesto:
Crecimiento de 10% en la prima.</t>
        </r>
      </text>
    </comment>
    <comment ref="D7" authorId="0">
      <text>
        <r>
          <rPr>
            <b/>
            <sz val="9"/>
            <color indexed="81"/>
            <rFont val="Tahoma"/>
            <family val="2"/>
          </rPr>
          <t>Supuesto:
Crecimiento de 5% en la prima.</t>
        </r>
      </text>
    </comment>
  </commentList>
</comments>
</file>

<file path=xl/comments2.xml><?xml version="1.0" encoding="utf-8"?>
<comments xmlns="http://schemas.openxmlformats.org/spreadsheetml/2006/main">
  <authors>
    <author>SVS</author>
  </authors>
  <commentList>
    <comment ref="C16" authorId="0">
      <text>
        <r>
          <rPr>
            <b/>
            <sz val="9"/>
            <color indexed="81"/>
            <rFont val="Tahoma"/>
            <family val="2"/>
          </rPr>
          <t>Estatales
Duración 0,362 años
Tasa 3,42%
Estrés de 100%</t>
        </r>
      </text>
    </comment>
    <comment ref="C22" authorId="0">
      <text>
        <r>
          <rPr>
            <b/>
            <sz val="9"/>
            <color indexed="81"/>
            <rFont val="Tahoma"/>
            <family val="2"/>
          </rPr>
          <t>Estatales
Duración 2,0 años
Tasa 2,28%
Estrés de 75%</t>
        </r>
      </text>
    </comment>
    <comment ref="C28" authorId="0">
      <text>
        <r>
          <rPr>
            <b/>
            <sz val="9"/>
            <color indexed="81"/>
            <rFont val="Tahoma"/>
            <family val="2"/>
          </rPr>
          <t>Estatales
Duración 3,12 años
Tasa 2,01%
Estrés de 50%</t>
        </r>
      </text>
    </comment>
    <comment ref="C34" authorId="0">
      <text>
        <r>
          <rPr>
            <b/>
            <sz val="9"/>
            <color indexed="81"/>
            <rFont val="Tahoma"/>
            <family val="2"/>
          </rPr>
          <t>Estatales
Duración 7,71 años
Tasa 2,19%
Estrés de 35%</t>
        </r>
      </text>
    </comment>
  </commentList>
</comments>
</file>

<file path=xl/comments3.xml><?xml version="1.0" encoding="utf-8"?>
<comments xmlns="http://schemas.openxmlformats.org/spreadsheetml/2006/main">
  <authors>
    <author>SVS</author>
  </authors>
  <commentList>
    <comment ref="C16" authorId="0">
      <text>
        <r>
          <rPr>
            <b/>
            <sz val="9"/>
            <color indexed="81"/>
            <rFont val="Tahoma"/>
            <family val="2"/>
          </rPr>
          <t>No Securitizados (DAP)
Duración 0,57 años
Tasa 2,20%
Estrés de 100%</t>
        </r>
      </text>
    </comment>
    <comment ref="D16" authorId="0">
      <text>
        <r>
          <rPr>
            <b/>
            <sz val="9"/>
            <color indexed="81"/>
            <rFont val="Tahoma"/>
            <family val="2"/>
          </rPr>
          <t>No Securitizados (DAP)
Duración 0,43 años
Tasa 2,42%
Estrés de 120%</t>
        </r>
      </text>
    </comment>
    <comment ref="C22" authorId="0">
      <text>
        <r>
          <rPr>
            <b/>
            <sz val="9"/>
            <color indexed="81"/>
            <rFont val="Tahoma"/>
            <family val="2"/>
          </rPr>
          <t>No Securitizados (LH)
Duración 2,51 años
Tasa 4,34%
Estrés de 75%</t>
        </r>
      </text>
    </comment>
    <comment ref="C28" authorId="0">
      <text>
        <r>
          <rPr>
            <b/>
            <sz val="9"/>
            <color indexed="81"/>
            <rFont val="Tahoma"/>
            <family val="2"/>
          </rPr>
          <t>No Securitizados (Bono)
Duración 5,38 años
Tasa 3,53%
Estrés de 50%</t>
        </r>
      </text>
    </comment>
    <comment ref="E28" authorId="0">
      <text>
        <r>
          <rPr>
            <b/>
            <sz val="9"/>
            <color indexed="81"/>
            <rFont val="Tahoma"/>
            <family val="2"/>
          </rPr>
          <t>No Securitizados (Bono)
Duración 5,56 años
Tasa 4,95%
Estrés de 75%</t>
        </r>
      </text>
    </comment>
    <comment ref="F28" authorId="0">
      <text>
        <r>
          <rPr>
            <b/>
            <sz val="9"/>
            <color indexed="81"/>
            <rFont val="Tahoma"/>
            <family val="2"/>
          </rPr>
          <t>No Securitizados (Bono)
Duración 5,66 años
Tasa 7,36%
Estrés de 100%</t>
        </r>
      </text>
    </comment>
    <comment ref="D34" authorId="0">
      <text>
        <r>
          <rPr>
            <b/>
            <sz val="9"/>
            <color indexed="81"/>
            <rFont val="Tahoma"/>
            <family val="2"/>
          </rPr>
          <t>No Securitizados (Bono)
Duración 6,59 años
Tasa 4,25%
Estrés de 42%</t>
        </r>
      </text>
    </comment>
  </commentList>
</comments>
</file>

<file path=xl/comments4.xml><?xml version="1.0" encoding="utf-8"?>
<comments xmlns="http://schemas.openxmlformats.org/spreadsheetml/2006/main">
  <authors>
    <author>SVS</author>
  </authors>
  <commentList>
    <comment ref="C28" authorId="0">
      <text>
        <r>
          <rPr>
            <b/>
            <sz val="9"/>
            <color indexed="81"/>
            <rFont val="Tahoma"/>
            <family val="2"/>
          </rPr>
          <t>Securitizados (Bono)
Duración 4,14 años
Tasa 4,69%
Estrés de 75%</t>
        </r>
      </text>
    </comment>
    <comment ref="D28" authorId="0">
      <text>
        <r>
          <rPr>
            <b/>
            <sz val="9"/>
            <color indexed="81"/>
            <rFont val="Tahoma"/>
            <family val="2"/>
          </rPr>
          <t>Securitizados (Bono)
Duración 3,87 años
Tasa 5,08%
Estrés de 90%</t>
        </r>
      </text>
    </comment>
    <comment ref="E28" authorId="0">
      <text>
        <r>
          <rPr>
            <b/>
            <sz val="9"/>
            <color indexed="81"/>
            <rFont val="Tahoma"/>
            <family val="2"/>
          </rPr>
          <t>Securitizados (Bono)
Duración 4,66 años
Tasa 6,10%
Estrés de 113%</t>
        </r>
      </text>
    </comment>
    <comment ref="F28" authorId="0">
      <text>
        <r>
          <rPr>
            <b/>
            <sz val="9"/>
            <color indexed="81"/>
            <rFont val="Tahoma"/>
            <family val="2"/>
          </rPr>
          <t>Securitizados (Bono)
Duración 4,06 años
Tasa 16,02%
Estrés de 125%</t>
        </r>
      </text>
    </comment>
  </commentList>
</comments>
</file>

<file path=xl/comments5.xml><?xml version="1.0" encoding="utf-8"?>
<comments xmlns="http://schemas.openxmlformats.org/spreadsheetml/2006/main">
  <authors>
    <author>SVS</author>
  </authors>
  <commentList>
    <comment ref="E34" authorId="0">
      <text>
        <r>
          <rPr>
            <b/>
            <sz val="9"/>
            <color indexed="81"/>
            <rFont val="Tahoma"/>
            <family val="2"/>
          </rPr>
          <t>No Securitizados (Bono)
Duración 7,16 años
Tasa 5,28%
Estrés de 53%</t>
        </r>
      </text>
    </comment>
  </commentList>
</comments>
</file>

<file path=xl/comments6.xml><?xml version="1.0" encoding="utf-8"?>
<comments xmlns="http://schemas.openxmlformats.org/spreadsheetml/2006/main">
  <authors>
    <author>SVS</author>
  </authors>
  <commentList>
    <comment ref="D14" authorId="0">
      <text>
        <r>
          <rPr>
            <b/>
            <sz val="9"/>
            <color indexed="81"/>
            <rFont val="Tahoma"/>
            <family val="2"/>
          </rPr>
          <t>Supuesto:
Mayor proporción de la inversión está en Brasil.</t>
        </r>
      </text>
    </comment>
  </commentList>
</comments>
</file>

<file path=xl/comments7.xml><?xml version="1.0" encoding="utf-8"?>
<comments xmlns="http://schemas.openxmlformats.org/spreadsheetml/2006/main">
  <authors>
    <author>SVS</author>
  </authors>
  <commentList>
    <comment ref="E16" authorId="0">
      <text>
        <r>
          <rPr>
            <b/>
            <sz val="9"/>
            <color indexed="81"/>
            <rFont val="Tahoma"/>
            <family val="2"/>
          </rPr>
          <t>Compañía tiene cobertura en el S&amp;P500 sólo por un 60%.</t>
        </r>
      </text>
    </comment>
  </commentList>
</comments>
</file>

<file path=xl/comments8.xml><?xml version="1.0" encoding="utf-8"?>
<comments xmlns="http://schemas.openxmlformats.org/spreadsheetml/2006/main">
  <authors>
    <author>SVS</author>
  </authors>
  <commentList>
    <comment ref="C6" authorId="0">
      <text>
        <r>
          <rPr>
            <b/>
            <sz val="9"/>
            <color indexed="81"/>
            <rFont val="Tahoma"/>
            <family val="2"/>
          </rPr>
          <t>TSA Normativo utilizando las nuevas tablas de mortalidad 2014.</t>
        </r>
      </text>
    </comment>
    <comment ref="C7" authorId="0">
      <text>
        <r>
          <rPr>
            <b/>
            <sz val="9"/>
            <color indexed="81"/>
            <rFont val="Tahoma"/>
            <family val="2"/>
          </rPr>
          <t>TSA con tablas 2014 aplicando VTD con información de 12 meses.</t>
        </r>
      </text>
    </comment>
  </commentList>
</comments>
</file>

<file path=xl/comments9.xml><?xml version="1.0" encoding="utf-8"?>
<comments xmlns="http://schemas.openxmlformats.org/spreadsheetml/2006/main">
  <authors>
    <author>SVS</author>
  </authors>
  <commentList>
    <comment ref="B7" authorId="0">
      <text>
        <r>
          <rPr>
            <b/>
            <sz val="9"/>
            <color indexed="81"/>
            <rFont val="Tahoma"/>
            <family val="2"/>
          </rPr>
          <t>Supuesto:
Reserva respaldada 100% con RF</t>
        </r>
      </text>
    </comment>
  </commentList>
</comments>
</file>

<file path=xl/sharedStrings.xml><?xml version="1.0" encoding="utf-8"?>
<sst xmlns="http://schemas.openxmlformats.org/spreadsheetml/2006/main" count="1439" uniqueCount="684">
  <si>
    <t>BBRR en Leasing</t>
  </si>
  <si>
    <t>Menos de 1 año</t>
  </si>
  <si>
    <t>Entre 1 y 3 años</t>
  </si>
  <si>
    <t>Entre 3 y 6 años</t>
  </si>
  <si>
    <t>Más de 6 años</t>
  </si>
  <si>
    <t>CBR Calculado</t>
  </si>
  <si>
    <t>Factor utilizado</t>
  </si>
  <si>
    <t>Acción 1</t>
  </si>
  <si>
    <t>Acción 2</t>
  </si>
  <si>
    <t>Accionario</t>
  </si>
  <si>
    <t>Capital de Riesgo</t>
  </si>
  <si>
    <t>Otros Fondos</t>
  </si>
  <si>
    <t>Fondo 1</t>
  </si>
  <si>
    <t>Fondo 2</t>
  </si>
  <si>
    <t>Fondo 3</t>
  </si>
  <si>
    <t>C</t>
  </si>
  <si>
    <t>Conceptos</t>
  </si>
  <si>
    <t>Valor posición compradora</t>
  </si>
  <si>
    <t>Valor posición vendedora</t>
  </si>
  <si>
    <t>Valor posición neta</t>
  </si>
  <si>
    <t>Opciones</t>
  </si>
  <si>
    <t>Futuros</t>
  </si>
  <si>
    <t>Forwards</t>
  </si>
  <si>
    <t>Swaps</t>
  </si>
  <si>
    <t>CDS</t>
  </si>
  <si>
    <t>Activo subyacente</t>
  </si>
  <si>
    <t>Concepto</t>
  </si>
  <si>
    <t>Fondos</t>
  </si>
  <si>
    <t>Derivados</t>
  </si>
  <si>
    <t>AAA</t>
  </si>
  <si>
    <t>AA</t>
  </si>
  <si>
    <t>A</t>
  </si>
  <si>
    <t>BBB</t>
  </si>
  <si>
    <t>BB</t>
  </si>
  <si>
    <t>B</t>
  </si>
  <si>
    <t>D</t>
  </si>
  <si>
    <t>Valor contable</t>
  </si>
  <si>
    <t>CBR calculado</t>
  </si>
  <si>
    <t>Primas por Cobrar</t>
  </si>
  <si>
    <t>0-2 meses</t>
  </si>
  <si>
    <t>3-5 meses</t>
  </si>
  <si>
    <t>6 o más meses</t>
  </si>
  <si>
    <t>Tipo de riesgo o evento</t>
  </si>
  <si>
    <t>Otros Activos</t>
  </si>
  <si>
    <t>Mutuos Hipotecarios</t>
  </si>
  <si>
    <t>Menor a 90 días</t>
  </si>
  <si>
    <t>Menor a 1 año</t>
  </si>
  <si>
    <t>Mayor a 1 año</t>
  </si>
  <si>
    <t>Meses de atraso en el pago de cuotas</t>
  </si>
  <si>
    <t>Factor de Capital</t>
  </si>
  <si>
    <t>0 a 2</t>
  </si>
  <si>
    <t>3 a 5</t>
  </si>
  <si>
    <t>BBRR EN LEASING</t>
  </si>
  <si>
    <t>Chile y Otros países OECD</t>
  </si>
  <si>
    <t>Países no OECD, con clasificación de riesgo soberano “investment grade” (al menos BBB)</t>
  </si>
  <si>
    <t>Países no OECD, con clasificación de riesgo soberano inferior a “investment grade” (BBB)</t>
  </si>
  <si>
    <t>Duración (Modificada) del Instrumento</t>
  </si>
  <si>
    <t>Entre  3 y 6 años</t>
  </si>
  <si>
    <t>Monedas</t>
  </si>
  <si>
    <t>Dólar de Estados Unidos</t>
  </si>
  <si>
    <t>Euro</t>
  </si>
  <si>
    <t>Libras Esterlinas</t>
  </si>
  <si>
    <t>Monto exposición (suma asegurada) sin considerar reaseguro no proporcional (exceso de pérdida)</t>
  </si>
  <si>
    <t>CBR Calculado (estrés aplicado - mitigación por reaseguro aplicado)</t>
  </si>
  <si>
    <t>Estrés aplicado sin considerar reaseguro no proporcional (monto de las pérdidas en el escenario definido)</t>
  </si>
  <si>
    <t>Reaseguro no proporcional o exceso de pérdida (mitigación del estrés)</t>
  </si>
  <si>
    <t>Renta Fija Nacional</t>
  </si>
  <si>
    <t>Renta Fija en el Exterior</t>
  </si>
  <si>
    <t>I.- Definiciones preliminares (nomenclatura):</t>
  </si>
  <si>
    <t>CBR op:</t>
  </si>
  <si>
    <t>CBR b:</t>
  </si>
  <si>
    <t>1.1 Riesgo de Mercado</t>
  </si>
  <si>
    <t>Acciones Chile</t>
  </si>
  <si>
    <t>Subtotal Acciones Chile</t>
  </si>
  <si>
    <t>Total Acciones</t>
  </si>
  <si>
    <t>a) Valor tasación 1</t>
  </si>
  <si>
    <t>b) Valor tasación 2</t>
  </si>
  <si>
    <t>c) Valor mercado (menor entre a y b)</t>
  </si>
  <si>
    <t>e) CBR Calculado (c - d)</t>
  </si>
  <si>
    <t>Opción 1</t>
  </si>
  <si>
    <t>Opción 2</t>
  </si>
  <si>
    <t>Opción n</t>
  </si>
  <si>
    <t>Futuro 1</t>
  </si>
  <si>
    <t>Futuro 2</t>
  </si>
  <si>
    <t>Futuro n</t>
  </si>
  <si>
    <t>Total Derivados</t>
  </si>
  <si>
    <t>Subtotal Opciones</t>
  </si>
  <si>
    <t>Subtotal Futuros</t>
  </si>
  <si>
    <t>Subtotal Forwards</t>
  </si>
  <si>
    <t>Forwards 1</t>
  </si>
  <si>
    <t>Forwards 2</t>
  </si>
  <si>
    <t>Forwards n</t>
  </si>
  <si>
    <t>Swaps 1</t>
  </si>
  <si>
    <t>Swaps 2</t>
  </si>
  <si>
    <t>Swaps n</t>
  </si>
  <si>
    <t>Subtotal Swaps</t>
  </si>
  <si>
    <t>CDS 1</t>
  </si>
  <si>
    <t>CDS 2</t>
  </si>
  <si>
    <t>CDS n</t>
  </si>
  <si>
    <t>Subtotal CDS</t>
  </si>
  <si>
    <t>Otros</t>
  </si>
  <si>
    <t>6 o más</t>
  </si>
  <si>
    <t>Acción n</t>
  </si>
  <si>
    <t>Valor de mercado</t>
  </si>
  <si>
    <t>Valor de mercado estresado</t>
  </si>
  <si>
    <t>Total</t>
  </si>
  <si>
    <t>Bien Raíz 1</t>
  </si>
  <si>
    <t>Bien Raíz 2</t>
  </si>
  <si>
    <t>Bien Raíz n</t>
  </si>
  <si>
    <t>Bienes Raíces</t>
  </si>
  <si>
    <t>Resumen CBR Riesgo de Mercado</t>
  </si>
  <si>
    <t>a) Acciones</t>
  </si>
  <si>
    <t>Valor de Mercado</t>
  </si>
  <si>
    <t>Valor de Mercado Estresado</t>
  </si>
  <si>
    <t>Factor Utilizado</t>
  </si>
  <si>
    <t>Mercado</t>
  </si>
  <si>
    <t>Duración Instrumentos</t>
  </si>
  <si>
    <t>Instrumentos con Duración menor a 1 año</t>
  </si>
  <si>
    <t>Instrumentos con Duración entre 1 y 3 años</t>
  </si>
  <si>
    <t>Instrumentos con Duración mayor a 3 y hasta 6 años</t>
  </si>
  <si>
    <t>Instrumentos con Duración mayor a 6 años</t>
  </si>
  <si>
    <t>c) Bienes Raíces (no incluye Leasing)</t>
  </si>
  <si>
    <t>d) Fondos Mutuos y de Inversión</t>
  </si>
  <si>
    <t>Fondos Accionarios</t>
  </si>
  <si>
    <t>Fondos de Capital de Riesgo</t>
  </si>
  <si>
    <t>TIPO DE FONDO (1)</t>
  </si>
  <si>
    <t>(2) Incluyen la asignación de fondos mixtos según lo señalado en la letra d.5) del número 1.1 del Capítulo III.</t>
  </si>
  <si>
    <t>Otras Monedas</t>
  </si>
  <si>
    <t>e.1) Monedas Extranjeras</t>
  </si>
  <si>
    <t>Unidades de Fomento</t>
  </si>
  <si>
    <t>e.2) Unidades de Fomento y Otras unidades reajustables en pesos</t>
  </si>
  <si>
    <t>Factor utilizado (sólo si posición neta es pasiva)</t>
  </si>
  <si>
    <t>Nota: El valor del CBR calculado por total de derivados debe coincidir con el registrado en el cuadro CBR Riesgo de Mercado.</t>
  </si>
  <si>
    <t>Cuadro b.1.2</t>
  </si>
  <si>
    <t>Cuadro b.1.1</t>
  </si>
  <si>
    <t>Cuadro b.1.3</t>
  </si>
  <si>
    <t>Cuadro b.1.4</t>
  </si>
  <si>
    <t>Cuadro b.2.1</t>
  </si>
  <si>
    <t>Cuadro b.2.4</t>
  </si>
  <si>
    <t>Cuadro b.2.3</t>
  </si>
  <si>
    <t>Cuadro b.2.2</t>
  </si>
  <si>
    <t>Cuadro d.1</t>
  </si>
  <si>
    <t>Cuadro d.2</t>
  </si>
  <si>
    <t>Cuadro d.3</t>
  </si>
  <si>
    <t>Cuadro d.4</t>
  </si>
  <si>
    <t>Cuadro d.5</t>
  </si>
  <si>
    <t>Cuadro d.6</t>
  </si>
  <si>
    <t>Cuadro d.7</t>
  </si>
  <si>
    <t>Cuadro d.8</t>
  </si>
  <si>
    <t>e) Monedas</t>
  </si>
  <si>
    <t>1.2 Riesgo de Crédito</t>
  </si>
  <si>
    <t>Resumen CBR Riesgo de Crédito</t>
  </si>
  <si>
    <t>Total CBR Riesgo de Crédito</t>
  </si>
  <si>
    <t>Renta Fija Local</t>
  </si>
  <si>
    <t>a) Riesgo de Crédito Instrumentos de Renta Fija con Clasificación de Riesgo</t>
  </si>
  <si>
    <t>TOTAL</t>
  </si>
  <si>
    <t>TOTAL CBR</t>
  </si>
  <si>
    <t>Renta Fija Internacional</t>
  </si>
  <si>
    <t>CBR Riesgo de Crédito Instrumentos con CR</t>
  </si>
  <si>
    <t>Nota: El valor del CBR calculado por riesgo de crédito de instrumentos de renta fija con clasificación de riesgo debe coincidir con el registrado en el cuadro 1.2 CBR Riesgo de Crédito.</t>
  </si>
  <si>
    <t>Nota: El valor del CBR calculado por tipos de fondos debe coincidir con el registrado en el cuadro 1.1 CBR Riesgo de Mercado. El total debe corresponder a la suma de las aperturas de los cuadros d.1 al d.8.-</t>
  </si>
  <si>
    <t>% Inversión en Chile y OECD (1)</t>
  </si>
  <si>
    <t>% Inversión en paises No OECD BBB o superior (1)</t>
  </si>
  <si>
    <t>% Inversión en paises No OECD menor BBB (1)</t>
  </si>
  <si>
    <t>Fondos de Renta Fija Nacional con duración (2)</t>
  </si>
  <si>
    <t>Fondos de Renta Fija en el Exterior con duración (2)</t>
  </si>
  <si>
    <t>Fondos de Renta Fija Nacional sin duración (2)</t>
  </si>
  <si>
    <t>Fondos de Renta Fija en el Exterior sin duración (2)</t>
  </si>
  <si>
    <t>Nota: El valor del CBR calculado por total de monedas debe coincidir con el registrado en el cuadro 1.1 CBR Riesgo de Mercado.</t>
  </si>
  <si>
    <t>Cuadro c.1</t>
  </si>
  <si>
    <t>CBR Operacional calculado (CBR op)</t>
  </si>
  <si>
    <t>Capítulo III</t>
  </si>
  <si>
    <t>n</t>
  </si>
  <si>
    <t>La descripción de los conceptos del Cuadro se entregan en el numeral I siguiente.</t>
  </si>
  <si>
    <t>Capítulo V</t>
  </si>
  <si>
    <t>Acciones países OECD</t>
  </si>
  <si>
    <t>Subtotal Acciones países OECD</t>
  </si>
  <si>
    <t>Subtotal Acciones países No OECD con CR BBB o superior</t>
  </si>
  <si>
    <t>Acciones países No OECD con CR inferior a BBB</t>
  </si>
  <si>
    <t>Subtotal Acciones países No OECD con CR inferior a BBB</t>
  </si>
  <si>
    <t>Clasificación de Riesgo Soberano (1)</t>
  </si>
  <si>
    <t>(1) Del mercado donde se transa la acción.</t>
  </si>
  <si>
    <t>Nota: El valor del CBR calculado por total de bienes raíces debe coincidir con el registrado en el cuadro 1.1 CBR Riesgo de Mercado. En el caso de bienes raíces de similar naturaleza (estacionamientos, oficinas, departamentos, etc) y ubicados en una misma dirección, éstos se deberán agrupar.</t>
  </si>
  <si>
    <t>Capítulo II</t>
  </si>
  <si>
    <t>Determinación del Patrimonio Disponible</t>
  </si>
  <si>
    <t>Patrimonio Neto según normativa vigente</t>
  </si>
  <si>
    <t>Monto</t>
  </si>
  <si>
    <t>Patrimonio Disponible Final</t>
  </si>
  <si>
    <t>Detalle de los Ajustes a la Valorización de Activos</t>
  </si>
  <si>
    <t>a) Valor Contable</t>
  </si>
  <si>
    <t>b) Valor Recalculado</t>
  </si>
  <si>
    <t>c) Ajuste Valorización b) - a)</t>
  </si>
  <si>
    <t>Detalle de los Ajustes a la Valorización de Pasivos</t>
  </si>
  <si>
    <t>Total 1</t>
  </si>
  <si>
    <t>Total 2</t>
  </si>
  <si>
    <t>Ajustes a la Valorización de Activos (Total 1)</t>
  </si>
  <si>
    <t>Ajustes a la Valorización de Pasivos (Total 2)</t>
  </si>
  <si>
    <t>CBR MHE</t>
  </si>
  <si>
    <t>Acciones países No OECD con CR BBB o superior</t>
  </si>
  <si>
    <t>Otras unidades reajustables</t>
  </si>
  <si>
    <t>Nota: El valor del CBR calculado por total de acciones debe coincidir con los registrados en el cuadro 1.1 CBR Riesgo de Mercado.</t>
  </si>
  <si>
    <t>Mayor a 6 años</t>
  </si>
  <si>
    <t>R. de Mercado</t>
  </si>
  <si>
    <t>R. de Crédito</t>
  </si>
  <si>
    <t>R. Técnico</t>
  </si>
  <si>
    <t>Riesgo de Mercado</t>
  </si>
  <si>
    <t>Riesgo de Crédito</t>
  </si>
  <si>
    <t>Riesgo Técnico</t>
  </si>
  <si>
    <t>CBR ajustado por Corr.</t>
  </si>
  <si>
    <t>f) Derivados de Inversión</t>
  </si>
  <si>
    <t>TIPO DE ACTIVO</t>
  </si>
  <si>
    <t>g) Otros Activos</t>
  </si>
  <si>
    <t>Nota: El valor del CBR calculado por tipos de activos debe coincidir con el registrado en el cuadro 1.1 CBR Riesgo de Mercado.</t>
  </si>
  <si>
    <t>CBR Individual</t>
  </si>
  <si>
    <t>Matriz traspuesta de CBR Individual</t>
  </si>
  <si>
    <t>Como porcentaje del total</t>
  </si>
  <si>
    <t>Beneficio por Diversificación</t>
  </si>
  <si>
    <t>CBR Operacional</t>
  </si>
  <si>
    <t>CBR Total</t>
  </si>
  <si>
    <t>=</t>
  </si>
  <si>
    <t>Fondo n</t>
  </si>
  <si>
    <t>Valor contable activo</t>
  </si>
  <si>
    <t>Valor contable pasivo</t>
  </si>
  <si>
    <t>Posición neta</t>
  </si>
  <si>
    <t>CBR Calculado (Posición neta* Factor utilizado)</t>
  </si>
  <si>
    <t>Activos por Reaseguro</t>
  </si>
  <si>
    <t>Reasegurador</t>
  </si>
  <si>
    <t>Reasegurador 1</t>
  </si>
  <si>
    <t>Reasegurador 2</t>
  </si>
  <si>
    <t>Reasegurador n</t>
  </si>
  <si>
    <t>Capítulo IV</t>
  </si>
  <si>
    <t>Total CBR Riesgos Técnicos</t>
  </si>
  <si>
    <t>1. Seguros de Renta Vitalicia del D.L. N°3.500 de 1980</t>
  </si>
  <si>
    <t>Monto en UF</t>
  </si>
  <si>
    <t>2. Seguro de Invalidez Y Sobrevivencia del D.L. N°3.500 de 1980 (SIS)</t>
  </si>
  <si>
    <t>a) Contratos vigentes hombres</t>
  </si>
  <si>
    <t>Remuneración Imponible (RI)</t>
  </si>
  <si>
    <t>% del SIS adjudicado</t>
  </si>
  <si>
    <t>Tasa siniestralidad SIS estresada</t>
  </si>
  <si>
    <t>Tasa de prima SIS compañía</t>
  </si>
  <si>
    <t>CBR Calculado ((tasa estresada - tasa de prima) * RI))</t>
  </si>
  <si>
    <t>Mitigación Reaseguro</t>
  </si>
  <si>
    <t>CBR Final</t>
  </si>
  <si>
    <t>b) Contratos vigentes mujeres</t>
  </si>
  <si>
    <t>c) Siniestros en Proceso de Liquidación</t>
  </si>
  <si>
    <t>Reserva Técnica de Siniestros en Proceso de Liquidación</t>
  </si>
  <si>
    <t>CBR SIS Total</t>
  </si>
  <si>
    <t>3. Seguros con Cuenta Única de Inversión (CUI)</t>
  </si>
  <si>
    <r>
      <rPr>
        <b/>
        <sz val="10"/>
        <color theme="1"/>
        <rFont val="Arial"/>
        <family val="2"/>
      </rPr>
      <t>b</t>
    </r>
    <r>
      <rPr>
        <sz val="10"/>
        <color theme="1"/>
        <rFont val="Arial"/>
        <family val="2"/>
      </rPr>
      <t xml:space="preserve">. Al respecto, los activos que respaldan la RVF en seguros CUI, no tendrán requerimiento por Riesgo de Mercado, cuando se cumplan las condiciones </t>
    </r>
    <r>
      <rPr>
        <b/>
        <sz val="10"/>
        <color theme="1"/>
        <rFont val="Arial"/>
        <family val="2"/>
      </rPr>
      <t>a)</t>
    </r>
    <r>
      <rPr>
        <sz val="10"/>
        <color theme="1"/>
        <rFont val="Arial"/>
        <family val="2"/>
      </rPr>
      <t xml:space="preserve"> y </t>
    </r>
    <r>
      <rPr>
        <b/>
        <sz val="10"/>
        <color theme="1"/>
        <rFont val="Arial"/>
        <family val="2"/>
      </rPr>
      <t>b)</t>
    </r>
    <r>
      <rPr>
        <sz val="10"/>
        <color theme="1"/>
        <rFont val="Arial"/>
        <family val="2"/>
      </rPr>
      <t xml:space="preserve"> allí señaladas.</t>
    </r>
  </si>
  <si>
    <r>
      <rPr>
        <b/>
        <sz val="10"/>
        <color theme="1"/>
        <rFont val="Arial"/>
        <family val="2"/>
      </rPr>
      <t>c</t>
    </r>
    <r>
      <rPr>
        <sz val="10"/>
        <color theme="1"/>
        <rFont val="Arial"/>
        <family val="2"/>
      </rPr>
      <t xml:space="preserve">. Cuando no se cumplan tales condiciones, se deberá calcular el CBR de Mercado mediante la </t>
    </r>
    <r>
      <rPr>
        <b/>
        <sz val="10"/>
        <color theme="1"/>
        <rFont val="Arial"/>
        <family val="2"/>
      </rPr>
      <t>Simulación de Escenarios</t>
    </r>
    <r>
      <rPr>
        <sz val="10"/>
        <color theme="1"/>
        <rFont val="Arial"/>
        <family val="2"/>
      </rPr>
      <t xml:space="preserve"> adversos de comportamiento de precios de mercado de activos, tasas de interés o índices a los que se encuentren indexada la rentabilidad ofrecida.</t>
    </r>
  </si>
  <si>
    <r>
      <rPr>
        <b/>
        <sz val="10"/>
        <color theme="1"/>
        <rFont val="Arial"/>
        <family val="2"/>
      </rPr>
      <t>d</t>
    </r>
    <r>
      <rPr>
        <sz val="10"/>
        <color theme="1"/>
        <rFont val="Arial"/>
        <family val="2"/>
      </rPr>
      <t>. La compañía deberá simular la ocurrencia de escenarios adversos de comportamiento de los precios de dichas variables; especial consideración se deberá tener con el  comportamiento de los contratantes del seguro respecto de las garantías u opciones otorgadas, debiendo incluirse en el análisis escenarios de comportamiento adverso de los contratantes.</t>
    </r>
  </si>
  <si>
    <t>ESCENARIOS DE STRESS *</t>
  </si>
  <si>
    <t>Conceptos (asociados a instrumentos subyacentes a la Póliza)</t>
  </si>
  <si>
    <t>Reserva de Valor del Fondo</t>
  </si>
  <si>
    <t>CBR Mercado "Escenario i"</t>
  </si>
  <si>
    <t>% de CBR sobre RVF</t>
  </si>
  <si>
    <t>* Se debe adjuntar una explicación detallada de cada escenario empleado considerando las variables estresadas y los criterios utilizados.</t>
  </si>
  <si>
    <r>
      <t>1.2 Riesgo de Crédito</t>
    </r>
    <r>
      <rPr>
        <sz val="11"/>
        <color theme="1"/>
        <rFont val="Calibri"/>
        <family val="2"/>
        <scheme val="minor"/>
      </rPr>
      <t/>
    </r>
  </si>
  <si>
    <t>RESUMEN CBR CREDITO</t>
  </si>
  <si>
    <t>2. Activos que respaldan Reservas Técnicas por la cobertura del riesgo.</t>
  </si>
  <si>
    <r>
      <rPr>
        <b/>
        <sz val="10"/>
        <color theme="1"/>
        <rFont val="Arial"/>
        <family val="2"/>
      </rPr>
      <t>a</t>
    </r>
    <r>
      <rPr>
        <sz val="10"/>
        <color theme="1"/>
        <rFont val="Arial"/>
        <family val="2"/>
      </rPr>
      <t>. A aquellos activos que respaldan Reservas Técnicas por la cobertura de riesgo en seguros CUI (Reserva Matemática o de Prima Ganada), les serán aplicables los de los activos del "Cuadro Seguros de Vida Tradicional", componente Riesgo de los Activos - adjunto - requerimientos de capital por riesgo.</t>
    </r>
  </si>
  <si>
    <t>Reserva matemática al 3%</t>
  </si>
  <si>
    <t>Menos de 3 años</t>
  </si>
  <si>
    <t>3 años o más</t>
  </si>
  <si>
    <t>Valor contable instrumentos</t>
  </si>
  <si>
    <t>Valor razonable (mercado) instrumentos</t>
  </si>
  <si>
    <t>Ajuste a patrimonio disponible</t>
  </si>
  <si>
    <r>
      <t>Estrés al alza de tasas de interés</t>
    </r>
    <r>
      <rPr>
        <b/>
        <sz val="10"/>
        <color theme="1"/>
        <rFont val="Arial"/>
        <family val="2"/>
      </rPr>
      <t xml:space="preserve"> (a)</t>
    </r>
  </si>
  <si>
    <r>
      <t xml:space="preserve">Estrés a la baja de tasas de interés </t>
    </r>
    <r>
      <rPr>
        <b/>
        <sz val="10"/>
        <color theme="1"/>
        <rFont val="Arial"/>
        <family val="2"/>
      </rPr>
      <t>(b)</t>
    </r>
  </si>
  <si>
    <t>CBR calculado (mayor entre a) y b))</t>
  </si>
  <si>
    <t>3. Riesgo Técnico de Seguros</t>
  </si>
  <si>
    <r>
      <rPr>
        <b/>
        <sz val="10"/>
        <color theme="1"/>
        <rFont val="Arial"/>
        <family val="2"/>
      </rPr>
      <t>a</t>
    </r>
    <r>
      <rPr>
        <sz val="10"/>
        <color theme="1"/>
        <rFont val="Arial"/>
        <family val="2"/>
      </rPr>
      <t xml:space="preserve">. Este se determinará siguiendo lo estimado en el </t>
    </r>
    <r>
      <rPr>
        <b/>
        <sz val="10"/>
        <color theme="1"/>
        <rFont val="Arial"/>
        <family val="2"/>
      </rPr>
      <t>"Cuadro Seguros de Vida Tradicional" - el que se adjunta -</t>
    </r>
    <r>
      <rPr>
        <sz val="10"/>
        <color theme="1"/>
        <rFont val="Arial"/>
        <family val="2"/>
      </rPr>
      <t xml:space="preserve">, componente </t>
    </r>
    <r>
      <rPr>
        <b/>
        <sz val="10"/>
        <color theme="1"/>
        <rFont val="Arial"/>
        <family val="2"/>
      </rPr>
      <t>Reserva Técnica</t>
    </r>
    <r>
      <rPr>
        <sz val="10"/>
        <color theme="1"/>
        <rFont val="Arial"/>
        <family val="2"/>
      </rPr>
      <t xml:space="preserve"> asociada a </t>
    </r>
    <r>
      <rPr>
        <b/>
        <sz val="10"/>
        <color theme="1"/>
        <rFont val="Arial"/>
        <family val="2"/>
      </rPr>
      <t>mortalidad o morbilidad</t>
    </r>
    <r>
      <rPr>
        <sz val="10"/>
        <color theme="1"/>
        <rFont val="Arial"/>
        <family val="2"/>
      </rPr>
      <t>, cubierto por el seguro, sin considerar la RVF.</t>
    </r>
  </si>
  <si>
    <t>Reserva matemática calculada</t>
  </si>
  <si>
    <t>Reserva matemática recalculada con 15% de estrés</t>
  </si>
  <si>
    <t>El estrés de 15% se aplica sobre las tasas de mortalidad o morbilidad (qx) consideradas en las respectivas tablas, incrementándolas en dicho porcentaje.</t>
  </si>
  <si>
    <t>4.1 Riesgo de los Activos</t>
  </si>
  <si>
    <t>Instrumentos de Renta Fija que respaldan Reserva Matemática</t>
  </si>
  <si>
    <r>
      <t>CBR Estrés al alza de tasas de interés</t>
    </r>
    <r>
      <rPr>
        <b/>
        <sz val="10"/>
        <color theme="1"/>
        <rFont val="Arial"/>
        <family val="2"/>
      </rPr>
      <t xml:space="preserve"> (a)</t>
    </r>
  </si>
  <si>
    <r>
      <t xml:space="preserve">CBR Estrés a la baja de tasas de interés </t>
    </r>
    <r>
      <rPr>
        <b/>
        <sz val="10"/>
        <color theme="1"/>
        <rFont val="Arial"/>
        <family val="2"/>
      </rPr>
      <t>(b)</t>
    </r>
  </si>
  <si>
    <t>ESCENARIOS DE STRESS (1)</t>
  </si>
  <si>
    <t>Riesgos Catastróficos</t>
  </si>
  <si>
    <t>(1) Se debe describir claramente el escenario proyectado conjuntamente con los supuestos utilizados en la proyección.</t>
  </si>
  <si>
    <t>b) Riesgo Operacional para Seguros de Vida</t>
  </si>
  <si>
    <t>Gasto CUI i</t>
  </si>
  <si>
    <t>Prima Bruta devengada t (Prim t v)</t>
  </si>
  <si>
    <t>Prima Bruta devengada t-1 (Prim t-1 v)</t>
  </si>
  <si>
    <t>Prima Bruta devengada CUI t  (Prim t cui)</t>
  </si>
  <si>
    <t>Prima Bruta devengada CUI t-1 (Prim t-1 cui)</t>
  </si>
  <si>
    <t>Reservas Técnicas Brutas (RT v)</t>
  </si>
  <si>
    <t>Reservas Técnicas Brutas CUI (RT vi)</t>
  </si>
  <si>
    <t>Gasto CUI i:</t>
  </si>
  <si>
    <t>Monto anual de gastos incurridos en los doce meses anteriores a la fecha de cálculo,  en seguros con cuentas únicas de inversión CUI, en compañías del segundo grupo</t>
  </si>
  <si>
    <t>Prim t v:</t>
  </si>
  <si>
    <t>Prima bruta devengada, sin deducir las primas cedidas a reaseguradores, durante los 12 meses anteriores a la fecha de cálculo, en compañías del segundo grupo</t>
  </si>
  <si>
    <t>Prim t-1 v:</t>
  </si>
  <si>
    <t>Prima bruta devengada, sin deducir las primas cedidas a reaseguradores, durante los doce meses anteriores a los doce meses previos a la fecha de cálculo, en compañías de seguros del segundo grupo</t>
  </si>
  <si>
    <t>Prim t cui:</t>
  </si>
  <si>
    <t>Prima bruta devengada, sin deducir las primas cedidas a reaseguradores, de seguros CUI, durante los doce meses anteriores a la fecha de cálculo, en compañías de seguros del segundo grupo</t>
  </si>
  <si>
    <t>Prim t-1 cui:</t>
  </si>
  <si>
    <t>Prima bruta devengada, sin deducir las primas cedidas a reaseguradores, de seguros CUI, durante los doce meses anteriores a los doce meses previos a la fecha de cálculo, en compañías de seguros del segundo grupo</t>
  </si>
  <si>
    <t>RT v:</t>
  </si>
  <si>
    <t>Reservas técnicas brutas de seguros de vida, a la fecha de cálculo, sin deducir los activos por reaseguro asociados a las reservas técnicas cedidas</t>
  </si>
  <si>
    <t>RT vi:</t>
  </si>
  <si>
    <t>Reservas técnicas brutas de seguros de vida, a la fecha de cálculo, en seguros CUI, sin deducir los activos por reaseguro asociados a las reservas técnicas cedidas</t>
  </si>
  <si>
    <t>Requerimiento de Capital Basado en Riesgos Básico (antes del cálculo del riesgo operacional)
Corresponde al dato Total General del CBR calculado, proveniente de Cuadro "CBR Mercado" Vida.</t>
  </si>
  <si>
    <r>
      <t>R</t>
    </r>
    <r>
      <rPr>
        <vertAlign val="subscript"/>
        <sz val="10"/>
        <rFont val="Arial"/>
        <family val="2"/>
      </rPr>
      <t>OP</t>
    </r>
    <r>
      <rPr>
        <sz val="10"/>
        <rFont val="Arial"/>
        <family val="2"/>
      </rPr>
      <t>:</t>
    </r>
  </si>
  <si>
    <t>Cargo por riesgo operacional, basado en primas y reservas técnicas, excluyendo los seguros de vida en donde el riesgo de inversión está a cargo de los asegurados (CUI)</t>
  </si>
  <si>
    <r>
      <t>R</t>
    </r>
    <r>
      <rPr>
        <b/>
        <vertAlign val="subscript"/>
        <sz val="10"/>
        <rFont val="Arial"/>
        <family val="2"/>
      </rPr>
      <t>OP =</t>
    </r>
  </si>
  <si>
    <t xml:space="preserve">Max (Rop Prima; Rop RT) </t>
  </si>
  <si>
    <r>
      <t>R</t>
    </r>
    <r>
      <rPr>
        <b/>
        <vertAlign val="subscript"/>
        <sz val="10"/>
        <rFont val="Arial"/>
        <family val="2"/>
      </rPr>
      <t xml:space="preserve">OP </t>
    </r>
    <r>
      <rPr>
        <b/>
        <sz val="10"/>
        <rFont val="Arial"/>
        <family val="2"/>
      </rPr>
      <t>Prima</t>
    </r>
    <r>
      <rPr>
        <b/>
        <vertAlign val="subscript"/>
        <sz val="10"/>
        <rFont val="Arial"/>
        <family val="2"/>
      </rPr>
      <t>=</t>
    </r>
  </si>
  <si>
    <r>
      <t>R</t>
    </r>
    <r>
      <rPr>
        <b/>
        <vertAlign val="subscript"/>
        <sz val="10"/>
        <rFont val="Arial"/>
        <family val="2"/>
      </rPr>
      <t xml:space="preserve">OP </t>
    </r>
    <r>
      <rPr>
        <b/>
        <sz val="10"/>
        <rFont val="Arial"/>
        <family val="2"/>
      </rPr>
      <t>RT</t>
    </r>
    <r>
      <rPr>
        <b/>
        <vertAlign val="subscript"/>
        <sz val="10"/>
        <rFont val="Arial"/>
        <family val="2"/>
      </rPr>
      <t xml:space="preserve"> =</t>
    </r>
  </si>
  <si>
    <t>0.0045 * Max (0; RT v – RT vi)</t>
  </si>
  <si>
    <t xml:space="preserve"> 0.25 * Gasto CUI i</t>
  </si>
  <si>
    <t>Resumen CBR Riesgos Técnicos (CSV)</t>
  </si>
  <si>
    <t>Matriz de Correlaciones (CSV)</t>
  </si>
  <si>
    <t>(1) La asignación por país se debe realizar de acuerdo al que concentra la mayor inversión dentro del fondo.</t>
  </si>
  <si>
    <t>(2) Corresponde a la menor de las clasificaciones de riesgo asignadas.</t>
  </si>
  <si>
    <t>(1) Corresponde a la exposición neta con el reasegurador (activos y obligaciones).</t>
  </si>
  <si>
    <t>Monto (1)</t>
  </si>
  <si>
    <t>Prima Bruta</t>
  </si>
  <si>
    <t>Provisiones</t>
  </si>
  <si>
    <t>Prima Neta de Provisiones</t>
  </si>
  <si>
    <t>Factor</t>
  </si>
  <si>
    <t>Resumen Riesgos Técnicos Compañías del Segundo Grupo</t>
  </si>
  <si>
    <t>d.1) Primas por Cobrar</t>
  </si>
  <si>
    <t>d) Valor mercado estresado (c * 80%)</t>
  </si>
  <si>
    <t>AAA-AA</t>
  </si>
  <si>
    <t>BB o menos</t>
  </si>
  <si>
    <t>b.1) Renta Fija Nacional - Instrumentos Estatales</t>
  </si>
  <si>
    <t>b.2) Renta Fija Nacional - Corporativos, Bancarios y Otros No Securitizados</t>
  </si>
  <si>
    <t>Factor de estrés de la tasa de interés (Incremento en la TIR de Mercado)</t>
  </si>
  <si>
    <t>b.3) Renta Fija Nacional - Securitizados</t>
  </si>
  <si>
    <t>b.4) Renta Fija en el Exterior - Instrumentos Estatales</t>
  </si>
  <si>
    <t>b.5) Renta Fija en el Exterior - Corporativos, Bancarios y Otros No Securitizados</t>
  </si>
  <si>
    <t>b.6) Renta Fija en el Exterior - Securitizados</t>
  </si>
  <si>
    <t>Cuadro b.3.1</t>
  </si>
  <si>
    <t>Cuadro b.3.2</t>
  </si>
  <si>
    <t>Cuadro b.3.3</t>
  </si>
  <si>
    <t>Cuadro b.3.4</t>
  </si>
  <si>
    <t>Cuadro b.4.1</t>
  </si>
  <si>
    <t>Cuadro b.4.2</t>
  </si>
  <si>
    <t>Cuadro b.4.3</t>
  </si>
  <si>
    <t>Cuadro b.4.4</t>
  </si>
  <si>
    <t>Cuadro b.5.1</t>
  </si>
  <si>
    <t>Cuadro b.5.2</t>
  </si>
  <si>
    <t>Cuadro b.5.3</t>
  </si>
  <si>
    <t>Cuadro b.5.4</t>
  </si>
  <si>
    <t>Cuadro b.6.1</t>
  </si>
  <si>
    <t>Cuadro b.6.2</t>
  </si>
  <si>
    <t>Cuadro b.6.3</t>
  </si>
  <si>
    <t>Cuadro b.6.4</t>
  </si>
  <si>
    <t>b.1) Riesgo de Crédito de Mutuos Hipotecarios Endosables</t>
  </si>
  <si>
    <t>ESTATALES</t>
  </si>
  <si>
    <t>Clasificación</t>
  </si>
  <si>
    <t>AA+</t>
  </si>
  <si>
    <t>AA-</t>
  </si>
  <si>
    <t>A+</t>
  </si>
  <si>
    <t>A-</t>
  </si>
  <si>
    <t>BBB+</t>
  </si>
  <si>
    <t>BBB-</t>
  </si>
  <si>
    <t>BB+</t>
  </si>
  <si>
    <t>BB-</t>
  </si>
  <si>
    <t>B+</t>
  </si>
  <si>
    <t>B-</t>
  </si>
  <si>
    <t>Instrumentos de Renta Fija Nacional</t>
  </si>
  <si>
    <t>Instrumentos de Renta Fija Internacional</t>
  </si>
  <si>
    <t>CBR Riesgo de Crédito Leasing</t>
  </si>
  <si>
    <t>Nota: El valor del CBR calculado por total de renta fija nacional debe coincidir con el registrado en el cuadro 1.1 CBR Riesgo de Mercado y correponderá a la suma de los cuadros b.1), b.2) y b.3).</t>
  </si>
  <si>
    <t>Nota: El valor del CBR calculado por total de renta fija en el exterior debe coincidir con el registrado en el cuadro 1.1 CBR Riesgo de Mercado y corresponderá a la suma de los cuadros b.4), b.5) y b.6).</t>
  </si>
  <si>
    <t>c) Riesgo de Crédito de Bienes Raíces en Leasing</t>
  </si>
  <si>
    <t>Préstamos a pensionados</t>
  </si>
  <si>
    <t>Otros Préstamos</t>
  </si>
  <si>
    <t>Préstamos</t>
  </si>
  <si>
    <t>Nota: El valor del CBR calculado por riesgo de crédito de BBRR leasing debe coincidir con el registrado en el cuadro 1.2 CBR Riesgo de Crédito.</t>
  </si>
  <si>
    <t>Nota: El valor del CBR calculado por riesgo de crédito de Préstamos debe coincidir con el registrado en el cuadro 1.2 CBR Riesgo de Crédito.</t>
  </si>
  <si>
    <t>b.2) Riesgo de Crédito de Préstamos</t>
  </si>
  <si>
    <t>Clasif. Riesgo (2)</t>
  </si>
  <si>
    <t>Reaseguro SIS</t>
  </si>
  <si>
    <t>TSA (Mercado)</t>
  </si>
  <si>
    <t>TSA (Longevidad)</t>
  </si>
  <si>
    <t>0.04 (Prim t v – Prim t cui) + Max [0; 0.04 * [(Prim t v – 1.2 * Prim t-1 v) – (Prim t cui – 1.2* Prim t-1 cui)]</t>
  </si>
  <si>
    <r>
      <t xml:space="preserve">Requerimiento de Capital Basado en Riesgos para el Riesgo Operacional = </t>
    </r>
    <r>
      <rPr>
        <b/>
        <sz val="10"/>
        <rFont val="Arial"/>
        <family val="2"/>
      </rPr>
      <t>Min (0.2 * CBR b; R</t>
    </r>
    <r>
      <rPr>
        <b/>
        <vertAlign val="subscript"/>
        <sz val="10"/>
        <rFont val="Arial"/>
        <family val="2"/>
      </rPr>
      <t>OP</t>
    </r>
    <r>
      <rPr>
        <b/>
        <sz val="10"/>
        <rFont val="Arial"/>
        <family val="2"/>
      </rPr>
      <t>) + 0.25 * Gasto CUI i</t>
    </r>
    <r>
      <rPr>
        <sz val="10"/>
        <rFont val="Arial"/>
        <family val="2"/>
      </rPr>
      <t xml:space="preserve">
Para efectos del cálculo de CBR op, remitirse a los algoritmos informados en la letra a) del CAPITULO V: RIESGO OPERACIONAL de esta Metodología.</t>
    </r>
  </si>
  <si>
    <t>SOBERANOS A+ o superior</t>
  </si>
  <si>
    <t>Mortalidad</t>
  </si>
  <si>
    <t>Morbilidad</t>
  </si>
  <si>
    <t>Este cuadro corresponde al resumen del riesgo de mercado para los distintos instrumentos. Debe cuadrar con la información contenida en los cuadros a), b1) al b6) , c), d), e), f) y g).</t>
  </si>
  <si>
    <t>CBR Calculado (Reserva Técnica Sin. en Proceso de Liq. * 1%)</t>
  </si>
  <si>
    <r>
      <rPr>
        <b/>
        <sz val="10"/>
        <color theme="1"/>
        <rFont val="Arial"/>
        <family val="2"/>
      </rPr>
      <t>a</t>
    </r>
    <r>
      <rPr>
        <sz val="10"/>
        <color theme="1"/>
        <rFont val="Arial"/>
        <family val="2"/>
      </rPr>
      <t>. Se deberán considerar las instrucciones señaladas en el n°3.1.1 del capítulo IV.</t>
    </r>
  </si>
  <si>
    <r>
      <rPr>
        <b/>
        <sz val="10"/>
        <rFont val="Arial"/>
        <family val="2"/>
      </rPr>
      <t>a</t>
    </r>
    <r>
      <rPr>
        <sz val="10"/>
        <rFont val="Arial"/>
        <family val="2"/>
      </rPr>
      <t>. El CBR por Riesgo de Crédito asociado a instrumentos de Renta Fija, contrapartes de operaciones de cobertura u otros activos sujetos a dicho riesgo, que respalden RVF, se determinarán de acuerdo al n° 1.2 del capítulo III.  Se adjunta el Cuadro CBR Crédito.</t>
    </r>
  </si>
  <si>
    <r>
      <rPr>
        <b/>
        <sz val="10"/>
        <rFont val="Arial"/>
        <family val="2"/>
      </rPr>
      <t>b</t>
    </r>
    <r>
      <rPr>
        <sz val="10"/>
        <rFont val="Arial"/>
        <family val="2"/>
      </rPr>
      <t xml:space="preserve">. Los activos que respaldan RVF, no se considerarán para la aplicación del </t>
    </r>
    <r>
      <rPr>
        <b/>
        <sz val="10"/>
        <rFont val="Arial"/>
        <family val="2"/>
      </rPr>
      <t>Límite de Concentración</t>
    </r>
    <r>
      <rPr>
        <sz val="10"/>
        <rFont val="Arial"/>
        <family val="2"/>
      </rPr>
      <t xml:space="preserve"> mencionado en la letra g) del n° antes referido.</t>
    </r>
  </si>
  <si>
    <t>Seguros con Reserva Matemática</t>
  </si>
  <si>
    <t>CBR - Margen de Solvencia</t>
  </si>
  <si>
    <t xml:space="preserve">Reserva de Siniestros </t>
  </si>
  <si>
    <t>CBR SIS Riesgo Técnico</t>
  </si>
  <si>
    <t>Según lo dispuesto en el Capítulo III Número 2.1</t>
  </si>
  <si>
    <t>Seguros con Reserva de Riesgo en Curso</t>
  </si>
  <si>
    <t>2.2 Riesgo Técnico</t>
  </si>
  <si>
    <t>CBR Acciones</t>
  </si>
  <si>
    <t>CBR Rta. Fija</t>
  </si>
  <si>
    <t>CBR BBRR</t>
  </si>
  <si>
    <t>CBR Monedas</t>
  </si>
  <si>
    <t>Matriz de Correlaciones Riesgos de Mercado</t>
  </si>
  <si>
    <t>Matriz traspuesta CBR Mercado</t>
  </si>
  <si>
    <t>CBR aj. por Corr.</t>
  </si>
  <si>
    <t>Cuadros CBR</t>
  </si>
  <si>
    <t>Las cifras de los cuadros siguientes se expresan en Miles de Pesos, excepto las relativas al N°1 del capítulo IV Seguros de Renta Vitalicia del D.L. N°3.500 de 1980, las cuales se informarán en Unidades de Fomento (UF).</t>
  </si>
  <si>
    <t>Benef. Por Div.</t>
  </si>
  <si>
    <t>h) Agregación Riesgos de Mercado</t>
  </si>
  <si>
    <t>CBR Otros</t>
  </si>
  <si>
    <t>Capítulo VI</t>
  </si>
  <si>
    <t>Agregación de los Riesgos y CBR Final</t>
  </si>
  <si>
    <t>CBR FINAL</t>
  </si>
  <si>
    <t>Seguros de Vida</t>
  </si>
  <si>
    <t>5.2 Agregación Riesgos Técnicos CSV</t>
  </si>
  <si>
    <t>CBR Longevidad</t>
  </si>
  <si>
    <t>CBR Mortalidad</t>
  </si>
  <si>
    <t>CBR Inv. y Morb.</t>
  </si>
  <si>
    <t>CBR CAT</t>
  </si>
  <si>
    <t>Matriz traspuesta CBR Riesgos Técnicos CSV</t>
  </si>
  <si>
    <t>Factor aplicado (1%)</t>
  </si>
  <si>
    <t>Se debe considerar la clasificación de riesgo del instrumento.</t>
  </si>
  <si>
    <t>Pasivo RM</t>
  </si>
  <si>
    <t>Activo RM</t>
  </si>
  <si>
    <t>Copec</t>
  </si>
  <si>
    <t>Enersis</t>
  </si>
  <si>
    <t>Petrobras</t>
  </si>
  <si>
    <t>EURO</t>
  </si>
  <si>
    <t>Acciones Cerradas</t>
  </si>
  <si>
    <t>Mobiliario</t>
  </si>
  <si>
    <t>Matriz de Correlaciones Riesgos Técnicos CSV</t>
  </si>
  <si>
    <t>TAA estrés al alza CN</t>
  </si>
  <si>
    <t>TAA estrés a la baja CN</t>
  </si>
  <si>
    <t>Tratándose de Préstamos la Clasificación de Riesgo corresponde a la contraparte o los instrumentos emitidos por ésta (la menor). Incluye a los Créditos Sindicados.</t>
  </si>
  <si>
    <t>BB o inferior</t>
  </si>
  <si>
    <t>Préstamos con contraparte con clasificación de riesgo</t>
  </si>
  <si>
    <t>(1) Corresponde al monto de CBR por riesgo técnico del SIS deducido por efecto del reaseguro aún cuando no esté en el activo de la compañía.</t>
  </si>
  <si>
    <t>Duración</t>
  </si>
  <si>
    <t>Tasa</t>
  </si>
  <si>
    <t>Estrés</t>
  </si>
  <si>
    <t>Fórmula</t>
  </si>
  <si>
    <t>Inversión</t>
  </si>
  <si>
    <t>Inversión estresada</t>
  </si>
  <si>
    <t>MHE</t>
  </si>
  <si>
    <t xml:space="preserve"> 1 fracción</t>
  </si>
  <si>
    <r>
      <t>Supuesto tasa "stop loss" de 1,35 (Este monto estaría sujeto a riesgo de crédito del reasegurador)</t>
    </r>
    <r>
      <rPr>
        <b/>
        <sz val="12"/>
        <color rgb="FFFF0000"/>
        <rFont val="Calibri"/>
        <family val="2"/>
        <scheme val="minor"/>
      </rPr>
      <t xml:space="preserve"> SUPUESTO CR A</t>
    </r>
  </si>
  <si>
    <r>
      <t>Supuesto tasa "stop loss" de 1,25 (Este monto estaría sujeto a riesgo de crédito del reasegurador)</t>
    </r>
    <r>
      <rPr>
        <b/>
        <sz val="12"/>
        <color rgb="FFFF0000"/>
        <rFont val="Calibri"/>
        <family val="2"/>
        <scheme val="minor"/>
      </rPr>
      <t xml:space="preserve"> SUPUESTO CR A+</t>
    </r>
  </si>
  <si>
    <t>Fondo A</t>
  </si>
  <si>
    <t>Fondo C</t>
  </si>
  <si>
    <t>Hombres</t>
  </si>
  <si>
    <t>Mujeres</t>
  </si>
  <si>
    <t>TAA</t>
  </si>
  <si>
    <t>ALZA TASA SOBRE ACTIVOS</t>
  </si>
  <si>
    <t>Variación CN Hombres</t>
  </si>
  <si>
    <t>Variación CN Mujer</t>
  </si>
  <si>
    <t>Variación CI</t>
  </si>
  <si>
    <t>Variación CI Mujer</t>
  </si>
  <si>
    <t>Efecto Neto</t>
  </si>
  <si>
    <t xml:space="preserve">    Supuesto: Activos CUI son de renta variable</t>
  </si>
  <si>
    <t>Fondos Mutuos</t>
  </si>
  <si>
    <t>IPSA</t>
  </si>
  <si>
    <t>Estrés al alza</t>
  </si>
  <si>
    <t>Variación pasivo</t>
  </si>
  <si>
    <t>Variación activo</t>
  </si>
  <si>
    <t>Estrés a la baja</t>
  </si>
  <si>
    <t>Total de Activos</t>
  </si>
  <si>
    <t>Acciones</t>
  </si>
  <si>
    <t>BBRR</t>
  </si>
  <si>
    <t>Total Activos</t>
  </si>
  <si>
    <t>Renta Fija local</t>
  </si>
  <si>
    <t>Renta Fija exterior</t>
  </si>
  <si>
    <t>CLEAS</t>
  </si>
  <si>
    <t>Leverage</t>
  </si>
  <si>
    <t>BAJA TASA SOBRE ACTIVOS</t>
  </si>
  <si>
    <t>Max (a , b , 0)</t>
  </si>
  <si>
    <t>Otros (1)</t>
  </si>
  <si>
    <t>Patrimonio Neto CBR</t>
  </si>
  <si>
    <t>Variación Patrimonio</t>
  </si>
  <si>
    <t>4.2 Riesgo Técnico del Seguro</t>
  </si>
  <si>
    <t>Reserva Riesgo en Curso (Mortalidad)</t>
  </si>
  <si>
    <t>Reserva Riesgo en Curso (Morbilidad)</t>
  </si>
  <si>
    <t>Reserva Matemática (Mortalidad)</t>
  </si>
  <si>
    <t>Reserva Matemática (Morbilidad)</t>
  </si>
  <si>
    <t>CUI (Mortalidad)</t>
  </si>
  <si>
    <t>CUI (Morbilidad)</t>
  </si>
  <si>
    <t>Acciones Nacionales</t>
  </si>
  <si>
    <t>Acciones LATAM</t>
  </si>
  <si>
    <t>Monto en M$</t>
  </si>
  <si>
    <t>Factor de capital aplicado</t>
  </si>
  <si>
    <t>Reasegurador 1 (hombres)</t>
  </si>
  <si>
    <t>Reasegurador 2 (mujeres)</t>
  </si>
  <si>
    <t>Activos CUI</t>
  </si>
  <si>
    <t>Activos Reserva Matemática</t>
  </si>
  <si>
    <t>Activos Reserva SIS</t>
  </si>
  <si>
    <t>Subtotal Acciones Cerradas</t>
  </si>
  <si>
    <t>Acc. Personales y Salud (Morbilidad)</t>
  </si>
  <si>
    <t>a) Seguros con Reserva de Riesgo en Curso (No Salud o Accidentes Personales)</t>
  </si>
  <si>
    <t>b) Seguros con Reserva Matemática</t>
  </si>
  <si>
    <t>c) Seguros con Reserva de Riesgo en Curso Salud y Accidentes Personales</t>
  </si>
  <si>
    <t>Otros Reaseguros</t>
  </si>
  <si>
    <t>Ejercicio de las compañías es recalcular instrumento por instrumento con sus flujos</t>
  </si>
  <si>
    <t>Fondo Inmob. I</t>
  </si>
  <si>
    <t>Activo subyacente acciones cerradas</t>
  </si>
  <si>
    <t>SIS (Morbilidad)</t>
  </si>
  <si>
    <t>Duración (Modificada) del Instrumento o de la Reserva Técnica SIS.</t>
  </si>
  <si>
    <t>Tasa estrés a la baja (Dism. 20%)</t>
  </si>
  <si>
    <t>Tasa estrés al alza (Aum. 35%)</t>
  </si>
  <si>
    <t>2.1 Riesgo Tasa de Interés</t>
  </si>
  <si>
    <t>R.Técnica (A.A.)</t>
  </si>
  <si>
    <t>Pasivos: Tasa del AA 2,89% Duración mayor de 6 años.  Supuesto CN/RT = 140% (sin Bono de Rec.)</t>
  </si>
  <si>
    <t>ALZA TASA SOBRE PASIVOS (35%)</t>
  </si>
  <si>
    <t xml:space="preserve"> BAJA TASA SOBRE PASIVOS (20%)</t>
  </si>
  <si>
    <t>Variación cuota</t>
  </si>
  <si>
    <t>Efecto Neto RT</t>
  </si>
  <si>
    <t>Duración de Activo 5,6 años. Tasa del activo 3,8%.</t>
  </si>
  <si>
    <t>Pandemia</t>
  </si>
  <si>
    <t>Catastrófico</t>
  </si>
  <si>
    <t>Pasivo 2</t>
  </si>
  <si>
    <t>Otros préstamos corresponde a préstamos distintos a pensionados de la compañía y con contraparte sin clasificación de riesgo.</t>
  </si>
  <si>
    <t>%</t>
  </si>
  <si>
    <t>Aumento de VM : 4,0%</t>
  </si>
  <si>
    <r>
      <t xml:space="preserve">c) CBR (mortalidad o morbilidad)      </t>
    </r>
    <r>
      <rPr>
        <b/>
        <sz val="10"/>
        <color theme="1"/>
        <rFont val="Arial"/>
        <family val="2"/>
      </rPr>
      <t>b) - a)</t>
    </r>
  </si>
  <si>
    <t>Ajuste a patrimonio disponible activos</t>
  </si>
  <si>
    <t>Ajuste a patrimonio disponible pasivos</t>
  </si>
  <si>
    <t>3M Company</t>
  </si>
  <si>
    <r>
      <t xml:space="preserve">Fondos Inmobiliarios </t>
    </r>
    <r>
      <rPr>
        <b/>
        <sz val="10"/>
        <color rgb="FFFF0000"/>
        <rFont val="Arial"/>
        <family val="2"/>
      </rPr>
      <t>y de Infraestructura</t>
    </r>
  </si>
  <si>
    <r>
      <t xml:space="preserve">Inmobiliario </t>
    </r>
    <r>
      <rPr>
        <b/>
        <sz val="10"/>
        <color rgb="FFFF0000"/>
        <rFont val="Arial"/>
        <family val="2"/>
      </rPr>
      <t>e Infraestructura</t>
    </r>
  </si>
  <si>
    <t>Impuesto Diferido (Valor Neto)</t>
  </si>
  <si>
    <t>Deudas de Relacionados</t>
  </si>
  <si>
    <t>Boletas de Garantía</t>
  </si>
  <si>
    <t>Gastos Anticipados</t>
  </si>
  <si>
    <t>(1) Corresponde a otras inversiones o activos a los cuales no se les haya aplicado CBR por riesgo de mercado o crédito. No se le aplica CBR a los PPM, Pactos, Caja y Bancos, y a todo otro activo rebajado del patrimonio contable para el cálculo del patrimonio neto. Se debe indicar el detalle de los activos considerados en el siguiente cuadro:</t>
  </si>
  <si>
    <t>Activo 1</t>
  </si>
  <si>
    <t>Activo 2</t>
  </si>
  <si>
    <t>Activo n</t>
  </si>
  <si>
    <t>Total Otros (debe coincidir con la celda H7)</t>
  </si>
  <si>
    <t>a) Valor contable activo en moneda extranjera</t>
  </si>
  <si>
    <t>b) Valor contable pasivo en moneda extranjera</t>
  </si>
  <si>
    <t>c) Posición neta en moneda extranjera ((a-b) en valor absoluto)</t>
  </si>
  <si>
    <t>d) Mitigación por cobertura de derivados</t>
  </si>
  <si>
    <t>Fondo Infraestructura</t>
  </si>
  <si>
    <t>a) TSA informado según NCG N°209</t>
  </si>
  <si>
    <t>g) TSA recalculado con ambos estrés aplicados en conjunto (CBR)</t>
  </si>
  <si>
    <t>Para la distribución de los riesgos de longevidad y mercado se deberá aplicar un criterio de proporcionalidad, descrito en el cuadro siguiente:</t>
  </si>
  <si>
    <t>Distribución de efectos</t>
  </si>
  <si>
    <t>Tipo de Riesgo a asociar</t>
  </si>
  <si>
    <t>Composición de efectos</t>
  </si>
  <si>
    <t>Monto CBR proporcional</t>
  </si>
  <si>
    <t>Longevidad (Riesgo Técnico, (TSA d)-TSA c))</t>
  </si>
  <si>
    <t>Dólar de Estados Unidos OTROS</t>
  </si>
  <si>
    <t xml:space="preserve">Nota: El valor del CBR calculado por riesgo de crédito de Primas por Cobrar  debe coincidir con el registrado en el cuadro 1.2 CBR Riesgo de Crédito.  </t>
  </si>
  <si>
    <t>d) Riesgo de Crédito de Primas por Cobrar</t>
  </si>
  <si>
    <t>Nota: El valor del CBR calculado por riesgo de crédito de Activos por Reaseguro debe coincidir con el registrado en el cuadro 1.2 CBR Riesgo de Crédito.  Corresponde a la suma de los cuadros e.1.1 y e.1.2.-</t>
  </si>
  <si>
    <t>e.1) Riesgo de Crédito de Activos por Reaseguro (No terremoto)</t>
  </si>
  <si>
    <t>e.1.1) Activos por Reaseguro</t>
  </si>
  <si>
    <t>e.1.2) Reaseguro SIS CBR contratos vigentes</t>
  </si>
  <si>
    <t>e.2) Riesgo de Crédito de Activos por Reaseguro Terremoto</t>
  </si>
  <si>
    <t>Prima Directa Terremoto</t>
  </si>
  <si>
    <t>Prima Cedida</t>
  </si>
  <si>
    <t>PML de la Compañía</t>
  </si>
  <si>
    <t>Capacidad contrato XL</t>
  </si>
  <si>
    <t>Activos por Reaseguro Terremoto</t>
  </si>
  <si>
    <t>Prima Cedida por Reaseguro Proporcional</t>
  </si>
  <si>
    <t>Monto Reaseguro XL Catastrófico (Capacidad) (1)</t>
  </si>
  <si>
    <t>Clasif. Riesgo</t>
  </si>
  <si>
    <t>CBR Calculado (2)</t>
  </si>
  <si>
    <t>(1) Corresponde a la capacidad de los contratos de exceso de pérdida con un límite equivalente a la PML.</t>
  </si>
  <si>
    <t>(2) Corresponde a la prima cedida al reasegurador más el 50% de la capacidad de los contratos de exceso de pérdida.</t>
  </si>
  <si>
    <t>f) Riesgo de Crédito de Contrapartes de Productos Derivados</t>
  </si>
  <si>
    <t>Contraparte de Productos Derivados</t>
  </si>
  <si>
    <t>Contraparte 1</t>
  </si>
  <si>
    <t>Contraparte 2</t>
  </si>
  <si>
    <t>Contraparte n</t>
  </si>
  <si>
    <t>(1) Corresponde a la exposición neta con el reasegurador (sólo en caso de ser un activo).</t>
  </si>
  <si>
    <t>(2) Corresponde a la menor de las clasificaciones de riesgo de la contraparte. Tratándose de Cámaras de Compensación formalmente establecidas, se aplicará el CBR considerando el factor de riesgo correspondiente al riesgo soberano del país donde se encuentre establecida dicha entidad.  En todo caso, se podrá excluir del cálculo del CBR, a las Cámaras de Compensación autorizadas para operar con las Administradoras de Fondos de Pensiones nacionales.</t>
  </si>
  <si>
    <t>g) Riesgo de Crédito Otros</t>
  </si>
  <si>
    <t>Cuentas por Cobrar</t>
  </si>
  <si>
    <t>Comisiones Anticipadas a Intermediarios</t>
  </si>
  <si>
    <t>Otros No Especificados (1)</t>
  </si>
  <si>
    <t>Total Otros</t>
  </si>
  <si>
    <t xml:space="preserve">Nota: El valor del CBR calculado por riesgo de crédito de Otros debe coincidir con el registrado en el cuadro 1.2 CBR Riesgo de Crédito.  </t>
  </si>
  <si>
    <t>(1) Corresponde a otras deudas o cuentas por cobrar a las cuales no se les haya aplicado un CBR por concepto de riesgo de crédito. Se debe indicar el detalle de los activos considerados en el siguiente cuadro:</t>
  </si>
  <si>
    <t>Valor Contable</t>
  </si>
  <si>
    <t>Reaseguro de Terremoto</t>
  </si>
  <si>
    <t>Contraparte Derivados</t>
  </si>
  <si>
    <t>Activos RF CUI</t>
  </si>
  <si>
    <t>f) Exposición neta luego de derivados y hedge óptimo (en valor absoluto)</t>
  </si>
  <si>
    <t>CBR Calculado (ABS (c-d-e) * Factor utilizado)</t>
  </si>
  <si>
    <t>Reserva matemática recalculada con VTD (*)</t>
  </si>
  <si>
    <t>a) Reserva Matemática recalculada con vector de tasa de descuento (VTD)</t>
  </si>
  <si>
    <t>Aporte Adicional = Capital Necesario - Cuenta Individual</t>
  </si>
  <si>
    <t>Supuestos: Sólo el IPSA ofrecido tiene un descalce con las acciones que respaldan la obligación.</t>
  </si>
  <si>
    <t>Factor de estrés de la tasa de interés (alza)</t>
  </si>
  <si>
    <t>Factor de estrés de la tasa de interés (baja)</t>
  </si>
  <si>
    <t>Estrés de la Reserva Matemática</t>
  </si>
  <si>
    <t>Factor de estrés de la tasa de interés (para c/punto)</t>
  </si>
  <si>
    <t>Factor de estrés del VTD al alza</t>
  </si>
  <si>
    <t>Factor de estrés del VTD a la baja</t>
  </si>
  <si>
    <t>Duración (Modificada) del Instrumento (Activos)</t>
  </si>
  <si>
    <t>Todos las operaciones son en base a recálculo de flujos. Aproximaciones sólo para el ejemplo.</t>
  </si>
  <si>
    <t>Tasa estresada de activo 5,7% (3,8% * 1,5)</t>
  </si>
  <si>
    <t>Tasa estresada de activo 3,04% (0,80 * 3,8%)</t>
  </si>
  <si>
    <r>
      <t>CBR SIS Riesgo de Tasa de Interés (</t>
    </r>
    <r>
      <rPr>
        <b/>
        <sz val="11"/>
        <color rgb="FFFF0000"/>
        <rFont val="Calibri"/>
        <family val="2"/>
        <scheme val="minor"/>
      </rPr>
      <t>celda c10</t>
    </r>
    <r>
      <rPr>
        <sz val="11"/>
        <rFont val="Calibri"/>
        <family val="2"/>
        <scheme val="minor"/>
      </rPr>
      <t>)</t>
    </r>
  </si>
  <si>
    <t>Valor contable (mercado) instrumentos</t>
  </si>
  <si>
    <t>Nota: Fondos y Derivados se asignan según el subyacente. Otros Activos y Otros Fondos sólo se suma CBR fuera de la matriz.</t>
  </si>
  <si>
    <t>Promedio tasas adjudicadas hombres junio 2014</t>
  </si>
  <si>
    <t>Promedio tasas adjudicadas mujeres junio 2014</t>
  </si>
  <si>
    <t>Cifra estimada diciembre 2014 (con información a septiembre)</t>
  </si>
  <si>
    <t>Activo: Supuesto Tasa del 4,0% y Duración 6,1 años</t>
  </si>
  <si>
    <t>Factor de “stress” de la tasa de interés ALZA</t>
  </si>
  <si>
    <t>Factor de “stress” de la tasa de interés BAJA</t>
  </si>
  <si>
    <t>Todas la operaciones son en base a recálculos de flujos. Aproximaciones son sólo para el ejemplo.</t>
  </si>
  <si>
    <t>Otros Activos (Riesgo Crédito)</t>
  </si>
  <si>
    <t>Otros (Factor 100%)</t>
  </si>
  <si>
    <t>Total Otros (debe coincidir con la celda E6)</t>
  </si>
  <si>
    <t>Total Exposición en Dólar de Estados Unidos</t>
  </si>
  <si>
    <t>b) Reserva Matemática recalculada en la letra a), aplicando un 15% de estrés</t>
  </si>
  <si>
    <t>Línea de Negocio (LdN)</t>
  </si>
  <si>
    <t>Volumen de Prima</t>
  </si>
  <si>
    <t>Volumen de Reserva</t>
  </si>
  <si>
    <t>Factor NP</t>
  </si>
  <si>
    <r>
      <rPr>
        <b/>
        <sz val="10"/>
        <color theme="1"/>
        <rFont val="Symbol"/>
        <family val="1"/>
        <charset val="2"/>
      </rPr>
      <t>s</t>
    </r>
    <r>
      <rPr>
        <b/>
        <vertAlign val="subscript"/>
        <sz val="10"/>
        <color theme="1"/>
        <rFont val="Arial"/>
        <family val="2"/>
      </rPr>
      <t>LdN</t>
    </r>
  </si>
  <si>
    <t>GV1A: Accidentes Personales</t>
  </si>
  <si>
    <t>GV1B: Salud</t>
  </si>
  <si>
    <t>V</t>
  </si>
  <si>
    <t>s</t>
  </si>
  <si>
    <t>CBR</t>
  </si>
  <si>
    <t>Total Compañía (1)</t>
  </si>
  <si>
    <t>(1) CBR calculado para las LdN GV1A y GV1B.</t>
  </si>
  <si>
    <t>Indice de correlación LdN Salud y Accidentes Personales</t>
  </si>
  <si>
    <t>r</t>
  </si>
  <si>
    <t>GV1A</t>
  </si>
  <si>
    <t>GV1B</t>
  </si>
  <si>
    <t>Factores de Riesgo LdN Salud y Accidentes Personales</t>
  </si>
  <si>
    <t>LdN</t>
  </si>
  <si>
    <t>Riesgo de Prima</t>
  </si>
  <si>
    <t>Riesgo de Reserva</t>
  </si>
  <si>
    <t>4.2 Riesgo Técnico del Seguro Salud y Accidentes Personales (Según lo dispuesto en el Capítulo III Número 2.1)</t>
  </si>
  <si>
    <t xml:space="preserve">Nota: El valor del CBR calculado por riesgo de crédito de MHE debe coincidir con el registrado en el cuadro 1.2 CBR Riesgo de Crédito. </t>
  </si>
  <si>
    <t>Total Acciones c/Diversif.</t>
  </si>
  <si>
    <t>CBR
 Individual</t>
  </si>
  <si>
    <t>CBR Chile y Otros países OECD</t>
  </si>
  <si>
    <t>Países no OECD al menos BBB</t>
  </si>
  <si>
    <t>Países no OECD inferior a BBB</t>
  </si>
  <si>
    <t>CBR Acciones Cerradas</t>
  </si>
  <si>
    <t>CBR FINAL Acciones</t>
  </si>
  <si>
    <t>Matriz de Correlaciones Acciones</t>
  </si>
  <si>
    <t>Valor UF dic-15</t>
  </si>
  <si>
    <t>Tasa estresada pasivo 3,78% (2,80% * 1,35)</t>
  </si>
  <si>
    <t>Tasa estresada pasivo 1,82% (0,65 * 2,80%)</t>
  </si>
  <si>
    <t>Tasa Equiv. VTD dic-15 2,80%, aumento de 0,78% en RM</t>
  </si>
  <si>
    <t>Duración RM 4 años. Nueva Tasa del pasivo 2,8%.</t>
  </si>
  <si>
    <t>d) TSA calculado en la letra c), recalculado con una disminución de 10% en los Qx</t>
  </si>
  <si>
    <t>e) TSA calculado en la letra c), recalculado con riesgo de prepago según letra a) del N°2 de la NCG N°209 (sólo ajustes por prepago)</t>
  </si>
  <si>
    <t>f) TSA calculado en la letra c), recalculado con el estrés de tasa de reinversión (Disminución porcentual diferenciada para cada punto del VTD)</t>
  </si>
  <si>
    <r>
      <rPr>
        <b/>
        <sz val="10"/>
        <color theme="1"/>
        <rFont val="Arial"/>
        <family val="2"/>
      </rPr>
      <t>a)</t>
    </r>
    <r>
      <rPr>
        <sz val="10"/>
        <color theme="1"/>
        <rFont val="Arial"/>
        <family val="2"/>
      </rPr>
      <t xml:space="preserve"> Corresponde al monto de suficiencia o insuficiencia informado por la compañía a diciembre de 2015.</t>
    </r>
  </si>
  <si>
    <r>
      <t xml:space="preserve">d) </t>
    </r>
    <r>
      <rPr>
        <sz val="10"/>
        <color theme="1"/>
        <rFont val="Arial"/>
        <family val="2"/>
      </rPr>
      <t>Corresponde al monto de suficiencia o insuficiencia recalculado según los supuestos aplicados en la letra c</t>
    </r>
    <r>
      <rPr>
        <b/>
        <sz val="10"/>
        <color theme="1"/>
        <rFont val="Arial"/>
        <family val="2"/>
      </rPr>
      <t>)</t>
    </r>
    <r>
      <rPr>
        <sz val="10"/>
        <color theme="1"/>
        <rFont val="Arial"/>
        <family val="2"/>
      </rPr>
      <t xml:space="preserve"> y  aplicando un estrés de 10% a los Qx</t>
    </r>
  </si>
  <si>
    <r>
      <t xml:space="preserve">e) </t>
    </r>
    <r>
      <rPr>
        <sz val="10"/>
        <color theme="1"/>
        <rFont val="Arial"/>
        <family val="2"/>
      </rPr>
      <t>Corresponde al monto de suficiencia o insuficiencia recalculado según los supuestos aplicados en la letra c</t>
    </r>
    <r>
      <rPr>
        <b/>
        <sz val="10"/>
        <color theme="1"/>
        <rFont val="Arial"/>
        <family val="2"/>
      </rPr>
      <t xml:space="preserve">) </t>
    </r>
    <r>
      <rPr>
        <sz val="10"/>
        <color theme="1"/>
        <rFont val="Arial"/>
        <family val="2"/>
      </rPr>
      <t>y</t>
    </r>
    <r>
      <rPr>
        <b/>
        <sz val="10"/>
        <color theme="1"/>
        <rFont val="Arial"/>
        <family val="2"/>
      </rPr>
      <t xml:space="preserve"> </t>
    </r>
    <r>
      <rPr>
        <sz val="10"/>
        <color theme="1"/>
        <rFont val="Arial"/>
        <family val="2"/>
      </rPr>
      <t>aplicando los ajustes de los activos, sólo por concepto de prepago, establecidos en la letra a) del N°2 de la NCG N° 209.</t>
    </r>
  </si>
  <si>
    <r>
      <t xml:space="preserve">f) </t>
    </r>
    <r>
      <rPr>
        <sz val="10"/>
        <color theme="1"/>
        <rFont val="Arial"/>
        <family val="2"/>
      </rPr>
      <t>Corresponde al monto de suficiencia o insuficiencia recalculado según los supuestos aplicados en la letra c</t>
    </r>
    <r>
      <rPr>
        <b/>
        <sz val="10"/>
        <color theme="1"/>
        <rFont val="Arial"/>
        <family val="2"/>
      </rPr>
      <t xml:space="preserve">) </t>
    </r>
    <r>
      <rPr>
        <sz val="10"/>
        <color theme="1"/>
        <rFont val="Arial"/>
        <family val="2"/>
      </rPr>
      <t>y  aplicando el estrés de tasa de reinversión definido en la metodología (Disminución porcentual diferenciada sobre cada punto del VTD).</t>
    </r>
  </si>
  <si>
    <t>b.1) TSA informado según NCG N°209 incorporando nuevas Tablas de Mortalidad 2014</t>
  </si>
  <si>
    <t>c) TSA calculado en la letra b.2), recalculado sin activos asociados al patrimonio proporcional y sin ajustes de activos (default y prepago)</t>
  </si>
  <si>
    <t>b.2) TSA calculado en la letra b.1) incorporando VTD con información de 12 meses</t>
  </si>
  <si>
    <t>VTD a 12 meses Período Enero - Diciembre 2015</t>
  </si>
  <si>
    <t>Plazo</t>
  </si>
  <si>
    <t>VTD 12 Meses</t>
  </si>
  <si>
    <t>Estrés WP N°4</t>
  </si>
  <si>
    <t>VTD 12 Meses Estresado</t>
  </si>
  <si>
    <r>
      <rPr>
        <b/>
        <sz val="10"/>
        <color theme="1"/>
        <rFont val="Arial"/>
        <family val="2"/>
      </rPr>
      <t xml:space="preserve">c) </t>
    </r>
    <r>
      <rPr>
        <sz val="10"/>
        <color theme="1"/>
        <rFont val="Arial"/>
        <family val="2"/>
      </rPr>
      <t>Corresponde al monto de suficiencia o insuficiencia recalculado en la letra b.2), sin considerar los activos asociados al patrimonio proporcional y sin los ajustes de los activos establecidos en la letra a) del N°2 de la NCG N°209 (default y prepago).</t>
    </r>
  </si>
  <si>
    <t>Prepago (Riesgo de Mercado - Tasa de Interés, TSA e) - TSA c))</t>
  </si>
  <si>
    <t>Reinversión (Riesgo de Mercado - Tasa de Interés, TSA f) - TSA c))</t>
  </si>
  <si>
    <t>Factor utilizado (Factor Base + Ajuste Anticíclico si corresponde)</t>
  </si>
  <si>
    <r>
      <t>Factor utilizado (</t>
    </r>
    <r>
      <rPr>
        <b/>
        <sz val="10"/>
        <rFont val="Arial"/>
        <family val="2"/>
      </rPr>
      <t>3</t>
    </r>
    <r>
      <rPr>
        <sz val="10"/>
        <rFont val="Arial"/>
        <family val="2"/>
      </rPr>
      <t>)</t>
    </r>
  </si>
  <si>
    <t>(3) Para el caso de Fondos Mixtos, si corresponde de acuerdo a la metodología, se deberá considerar ajuste anticíclico.</t>
  </si>
  <si>
    <t>e) 30% de exposición en acciones, fondos y ETFs del S&amp;P 500 (sin cobertura)</t>
  </si>
  <si>
    <t>b.1) Corresponde al monto de suficiencia o insuficiencia recalculado aplicando las nuevas tablas de mortalidad 2014.</t>
  </si>
  <si>
    <t>b.2) Corresponde al monto de suficiencia o insuficiencia recalculado en letra b.1), utilizando el vector de tasa de descuento VTD establecido en la NCG N°373, pero considerando información de 12 meses, el cual se informa en la letra b) del número 1.3 del capítulo IV.</t>
  </si>
  <si>
    <t>Fondo 60% Acciones Nacionales y 40% RF</t>
  </si>
  <si>
    <t>Dólar de Estados Unidos ACCIONES, FONDOS Y ETFs S&amp;P 500</t>
  </si>
  <si>
    <r>
      <t xml:space="preserve">g) </t>
    </r>
    <r>
      <rPr>
        <sz val="10"/>
        <color theme="1"/>
        <rFont val="Arial"/>
        <family val="2"/>
      </rPr>
      <t>Corresponde al monto de suficiencia o insuficiencia recalculado según los supuestos aplicados en la letra c</t>
    </r>
    <r>
      <rPr>
        <b/>
        <sz val="10"/>
        <color theme="1"/>
        <rFont val="Arial"/>
        <family val="2"/>
      </rPr>
      <t xml:space="preserve">) </t>
    </r>
    <r>
      <rPr>
        <sz val="10"/>
        <color theme="1"/>
        <rFont val="Arial"/>
        <family val="2"/>
      </rPr>
      <t>aplicando los estrés de las letras d</t>
    </r>
    <r>
      <rPr>
        <b/>
        <sz val="10"/>
        <color theme="1"/>
        <rFont val="Arial"/>
        <family val="2"/>
      </rPr>
      <t>)</t>
    </r>
    <r>
      <rPr>
        <sz val="10"/>
        <color theme="1"/>
        <rFont val="Arial"/>
        <family val="2"/>
      </rPr>
      <t>, e</t>
    </r>
    <r>
      <rPr>
        <b/>
        <sz val="10"/>
        <color theme="1"/>
        <rFont val="Arial"/>
        <family val="2"/>
      </rPr>
      <t xml:space="preserve">) </t>
    </r>
    <r>
      <rPr>
        <sz val="10"/>
        <color theme="1"/>
        <rFont val="Arial"/>
        <family val="2"/>
      </rPr>
      <t>y f</t>
    </r>
    <r>
      <rPr>
        <b/>
        <sz val="10"/>
        <color theme="1"/>
        <rFont val="Arial"/>
        <family val="2"/>
      </rPr>
      <t>)</t>
    </r>
    <r>
      <rPr>
        <sz val="10"/>
        <color theme="1"/>
        <rFont val="Arial"/>
        <family val="2"/>
      </rPr>
      <t xml:space="preserve"> en forma simultánea</t>
    </r>
    <r>
      <rPr>
        <sz val="10"/>
        <rFont val="Arial"/>
        <family val="2"/>
      </rPr>
      <t>.</t>
    </r>
  </si>
  <si>
    <t>Cifra a diciembre 2015, ponderada por lo que resta del contrato (6/12)</t>
  </si>
  <si>
    <r>
      <t>Supuesto siniestralidad hombres 1,31. Siniestralidad estresada = (</t>
    </r>
    <r>
      <rPr>
        <b/>
        <sz val="11"/>
        <rFont val="Calibri"/>
        <family val="2"/>
        <scheme val="minor"/>
      </rPr>
      <t>1,64= 1,31 * 1,25</t>
    </r>
    <r>
      <rPr>
        <sz val="11"/>
        <color rgb="FFFF0000"/>
        <rFont val="Calibri"/>
        <family val="2"/>
        <scheme val="minor"/>
      </rPr>
      <t>)</t>
    </r>
  </si>
  <si>
    <r>
      <t>Supuesto siniestralidad mujeres 0,89. Siniestralidad estresada = (</t>
    </r>
    <r>
      <rPr>
        <b/>
        <sz val="11"/>
        <rFont val="Calibri"/>
        <family val="2"/>
        <scheme val="minor"/>
      </rPr>
      <t>1,11= 0,89 * 1,25</t>
    </r>
    <r>
      <rPr>
        <sz val="11"/>
        <color rgb="FFFF0000"/>
        <rFont val="Calibri"/>
        <family val="2"/>
        <scheme val="minor"/>
      </rPr>
      <t>)</t>
    </r>
  </si>
  <si>
    <t xml:space="preserve">(*) El VTD a diciembre de 2015 se informa en la letra f) del número 4.1 del capítulo IV. </t>
  </si>
  <si>
    <t xml:space="preserve">El estrés de 15% se aplica sobre las tasas de mortalidad o morbilidad (qx) consideradas en las respectivas tablas, incrementándolas en dicho porcentaje. El VTD a diciembre de 2015 se informa en la letra f) del número 4.1 del capítulo IV. </t>
  </si>
  <si>
    <t>Total CBR Riesgo de Mercado (antes de correlación)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</si>
</sst>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41" formatCode="_-* #,##0_-;\-* #,##0_-;_-* &quot;-&quot;_-;_-@_-"/>
    <numFmt numFmtId="43" formatCode="_-* #,##0.00_-;\-* #,##0.00_-;_-* &quot;-&quot;??_-;_-@_-"/>
    <numFmt numFmtId="164" formatCode="_-[$€-2]\ * #,##0.00_-;\-[$€-2]\ * #,##0.00_-;_-[$€-2]\ * &quot;-&quot;??_-"/>
    <numFmt numFmtId="165" formatCode="d\-mmmm\-yyyy"/>
    <numFmt numFmtId="166" formatCode="#,##0\ &quot;pta&quot;;\-#,##0\ &quot;pta&quot;"/>
    <numFmt numFmtId="167" formatCode="&quot;$&quot;#,##0.00;\-&quot;$&quot;#,##0.00"/>
    <numFmt numFmtId="168" formatCode="&quot;$&quot;#,##0;\-&quot;$&quot;#,##0"/>
    <numFmt numFmtId="169" formatCode="#,##0.0"/>
    <numFmt numFmtId="170" formatCode="0.0%"/>
    <numFmt numFmtId="171" formatCode="0.000"/>
    <numFmt numFmtId="172" formatCode="_(* #,##0_);_(* \(#,##0\);_(* &quot;-&quot;??_);_(@_)"/>
    <numFmt numFmtId="173" formatCode="_-* #,##0_-;\-* #,##0_-;_-* &quot;-&quot;??_-;_-@_-"/>
    <numFmt numFmtId="174" formatCode="&quot;$&quot;#,##0_);[Red]\(&quot;$&quot;#,##0\)"/>
    <numFmt numFmtId="175" formatCode="_(* #,##0_);_(* \(#,##0\);_(* &quot;-&quot;_);_(@_)"/>
    <numFmt numFmtId="176" formatCode="_(* #,##0.00_);_(* \(#,##0.00\);_(* &quot;-&quot;??_);_(@_)"/>
    <numFmt numFmtId="177" formatCode="_(&quot;$&quot;* #,##0_);_(&quot;$&quot;* \(#,##0\);_(&quot;$&quot;* &quot;-&quot;_);_(@_)"/>
    <numFmt numFmtId="178" formatCode="_(&quot;$&quot;* #,##0.00_);_(&quot;$&quot;* \(#,##0.00\);_(&quot;$&quot;* &quot;-&quot;??_);_(@_)"/>
    <numFmt numFmtId="179" formatCode="dd&quot;-&quot;mm&quot;-&quot;yyyy"/>
    <numFmt numFmtId="180" formatCode="#,##0.00000"/>
    <numFmt numFmtId="181" formatCode="#,##0.00_ ;[Red]\-#,##0.00\ "/>
    <numFmt numFmtId="182" formatCode="#,##0\ &quot;€&quot;;\-#,##0\ &quot;€&quot;"/>
    <numFmt numFmtId="183" formatCode="#,##0.00\ &quot;pta&quot;;\-#,##0.00\ &quot;pta&quot;"/>
    <numFmt numFmtId="184" formatCode="&quot;$&quot;#,##0_);\(&quot;$&quot;#,##0\)"/>
    <numFmt numFmtId="185" formatCode="&quot;$&quot;#,##0.00;[Red]\-&quot;$&quot;#,##0.00"/>
    <numFmt numFmtId="186" formatCode="0.0000"/>
    <numFmt numFmtId="187" formatCode="0.000%"/>
    <numFmt numFmtId="188" formatCode="_-* #,##0.0000_-;\-* #,##0.0000_-;_-* &quot;-&quot;??_-;_-@_-"/>
  </numFmts>
  <fonts count="87">
    <font>
      <sz val="11"/>
      <color theme="1"/>
      <name val="Calibri"/>
      <family val="2"/>
      <scheme val="minor"/>
    </font>
    <font>
      <sz val="11"/>
      <color theme="1"/>
      <name val="Calibri"/>
      <family val="2"/>
      <scheme val="minor"/>
    </font>
    <font>
      <b/>
      <sz val="12"/>
      <color theme="1"/>
      <name val="Arial"/>
      <family val="2"/>
    </font>
    <font>
      <sz val="11"/>
      <color theme="1"/>
      <name val="Arial"/>
      <family val="2"/>
    </font>
    <font>
      <sz val="10"/>
      <color theme="1"/>
      <name val="Arial"/>
      <family val="2"/>
    </font>
    <font>
      <b/>
      <sz val="10"/>
      <color theme="1"/>
      <name val="Arial"/>
      <family val="2"/>
    </font>
    <font>
      <sz val="10"/>
      <name val="Arial"/>
      <family val="2"/>
    </font>
    <font>
      <sz val="18"/>
      <name val="Arial"/>
      <family val="2"/>
    </font>
    <font>
      <sz val="8"/>
      <name val="Arial"/>
      <family val="2"/>
    </font>
    <font>
      <sz val="12"/>
      <name val="Arial"/>
      <family val="2"/>
    </font>
    <font>
      <sz val="8"/>
      <name val="Helv"/>
    </font>
    <font>
      <sz val="12"/>
      <color indexed="8"/>
      <name val="Arial"/>
      <family val="2"/>
    </font>
    <font>
      <sz val="10"/>
      <name val="Helv"/>
    </font>
    <font>
      <sz val="12"/>
      <name val="Helv"/>
    </font>
    <font>
      <b/>
      <sz val="11"/>
      <color theme="1"/>
      <name val="Calibri"/>
      <family val="2"/>
      <scheme val="minor"/>
    </font>
    <font>
      <b/>
      <sz val="11"/>
      <color rgb="FFFF0000"/>
      <name val="Calibri"/>
      <family val="2"/>
      <scheme val="minor"/>
    </font>
    <font>
      <b/>
      <sz val="10"/>
      <color rgb="FFFF0000"/>
      <name val="Arial"/>
      <family val="2"/>
    </font>
    <font>
      <b/>
      <sz val="10"/>
      <color rgb="FF00B050"/>
      <name val="Arial"/>
      <family val="2"/>
    </font>
    <font>
      <b/>
      <sz val="10"/>
      <name val="Arial"/>
      <family val="2"/>
    </font>
    <font>
      <sz val="10"/>
      <color rgb="FF000000"/>
      <name val="Arial"/>
      <family val="2"/>
    </font>
    <font>
      <b/>
      <sz val="10"/>
      <color rgb="FF000000"/>
      <name val="Arial"/>
      <family val="2"/>
    </font>
    <font>
      <sz val="10"/>
      <color theme="1"/>
      <name val="Calibri"/>
      <family val="2"/>
      <scheme val="minor"/>
    </font>
    <font>
      <b/>
      <sz val="16"/>
      <color theme="1"/>
      <name val="Arial"/>
      <family val="2"/>
    </font>
    <font>
      <vertAlign val="superscript"/>
      <sz val="10"/>
      <color theme="1"/>
      <name val="Arial"/>
      <family val="2"/>
    </font>
    <font>
      <vertAlign val="subscript"/>
      <sz val="10"/>
      <name val="Arial"/>
      <family val="2"/>
    </font>
    <font>
      <b/>
      <sz val="10"/>
      <color rgb="FFFF0000"/>
      <name val="Calibri"/>
      <family val="2"/>
      <scheme val="minor"/>
    </font>
    <font>
      <sz val="10"/>
      <color rgb="FFFF0000"/>
      <name val="Arial"/>
      <family val="2"/>
    </font>
    <font>
      <b/>
      <u/>
      <sz val="10"/>
      <color theme="1"/>
      <name val="Arial"/>
      <family val="2"/>
    </font>
    <font>
      <sz val="10"/>
      <color rgb="FFFF0000"/>
      <name val="Calibri"/>
      <family val="2"/>
      <scheme val="minor"/>
    </font>
    <font>
      <sz val="11"/>
      <color rgb="FFFF0000"/>
      <name val="Calibri"/>
      <family val="2"/>
      <scheme val="minor"/>
    </font>
    <font>
      <b/>
      <sz val="10"/>
      <name val="MS Sans Serif"/>
      <family val="2"/>
    </font>
    <font>
      <sz val="10"/>
      <name val="Helv"/>
      <charset val="238"/>
    </font>
    <font>
      <sz val="10"/>
      <name val="Geneva"/>
    </font>
    <font>
      <sz val="12"/>
      <color indexed="9"/>
      <name val="Arial"/>
      <family val="2"/>
    </font>
    <font>
      <sz val="10"/>
      <name val="Courier"/>
      <family val="3"/>
    </font>
    <font>
      <sz val="12"/>
      <color indexed="17"/>
      <name val="Arial"/>
      <family val="2"/>
    </font>
    <font>
      <b/>
      <sz val="12"/>
      <color indexed="10"/>
      <name val="Arial"/>
      <family val="2"/>
    </font>
    <font>
      <sz val="10"/>
      <name val="MS Sans Serif"/>
      <family val="2"/>
    </font>
    <font>
      <b/>
      <sz val="12"/>
      <color indexed="9"/>
      <name val="Arial"/>
      <family val="2"/>
    </font>
    <font>
      <sz val="12"/>
      <color indexed="10"/>
      <name val="Arial"/>
      <family val="2"/>
    </font>
    <font>
      <sz val="10"/>
      <color indexed="22"/>
      <name val="Arial"/>
      <family val="2"/>
    </font>
    <font>
      <b/>
      <sz val="11"/>
      <color indexed="62"/>
      <name val="Arial"/>
      <family val="2"/>
    </font>
    <font>
      <sz val="12"/>
      <color indexed="62"/>
      <name val="Arial"/>
      <family val="2"/>
    </font>
    <font>
      <u/>
      <sz val="10"/>
      <color indexed="36"/>
      <name val="Arial"/>
      <family val="2"/>
    </font>
    <font>
      <sz val="8"/>
      <name val="Courier New"/>
      <family val="3"/>
    </font>
    <font>
      <b/>
      <sz val="8"/>
      <color indexed="12"/>
      <name val="Courier New"/>
      <family val="3"/>
    </font>
    <font>
      <b/>
      <sz val="18"/>
      <color indexed="22"/>
      <name val="Arial"/>
      <family val="2"/>
    </font>
    <font>
      <b/>
      <sz val="12"/>
      <color indexed="22"/>
      <name val="Arial"/>
      <family val="2"/>
    </font>
    <font>
      <u/>
      <sz val="10"/>
      <color indexed="12"/>
      <name val="Arial"/>
      <family val="2"/>
    </font>
    <font>
      <sz val="12"/>
      <color indexed="20"/>
      <name val="Arial"/>
      <family val="2"/>
    </font>
    <font>
      <sz val="12"/>
      <color indexed="19"/>
      <name val="Arial"/>
      <family val="2"/>
    </font>
    <font>
      <sz val="9"/>
      <name val="Arial"/>
      <family val="2"/>
    </font>
    <font>
      <sz val="11"/>
      <color indexed="8"/>
      <name val="Calibri"/>
      <family val="2"/>
    </font>
    <font>
      <sz val="10"/>
      <name val="Arial CE"/>
    </font>
    <font>
      <sz val="10"/>
      <color indexed="8"/>
      <name val="Arial"/>
      <family val="2"/>
    </font>
    <font>
      <b/>
      <sz val="10"/>
      <color indexed="9"/>
      <name val="Arial"/>
      <family val="2"/>
    </font>
    <font>
      <b/>
      <sz val="12"/>
      <color indexed="63"/>
      <name val="Arial"/>
      <family val="2"/>
    </font>
    <font>
      <i/>
      <sz val="12"/>
      <color indexed="23"/>
      <name val="Arial"/>
      <family val="2"/>
    </font>
    <font>
      <b/>
      <sz val="15"/>
      <color indexed="62"/>
      <name val="Arial"/>
      <family val="2"/>
    </font>
    <font>
      <b/>
      <sz val="13"/>
      <color indexed="62"/>
      <name val="Arial"/>
      <family val="2"/>
    </font>
    <font>
      <b/>
      <sz val="12"/>
      <color indexed="8"/>
      <name val="Arial"/>
      <family val="2"/>
    </font>
    <font>
      <b/>
      <sz val="11"/>
      <name val="Calibri"/>
      <family val="2"/>
      <scheme val="minor"/>
    </font>
    <font>
      <b/>
      <sz val="14"/>
      <color theme="1"/>
      <name val="Arial"/>
      <family val="2"/>
    </font>
    <font>
      <b/>
      <vertAlign val="subscript"/>
      <sz val="10"/>
      <name val="Arial"/>
      <family val="2"/>
    </font>
    <font>
      <sz val="10"/>
      <color theme="1" tint="0.34998626667073579"/>
      <name val="Arial"/>
      <family val="2"/>
    </font>
    <font>
      <sz val="11"/>
      <name val="Calibri"/>
      <family val="2"/>
      <scheme val="minor"/>
    </font>
    <font>
      <sz val="10"/>
      <name val="Calibri"/>
      <family val="2"/>
      <scheme val="minor"/>
    </font>
    <font>
      <b/>
      <sz val="12"/>
      <name val="Arial"/>
      <family val="2"/>
    </font>
    <font>
      <b/>
      <sz val="10"/>
      <name val="Calibri"/>
      <family val="2"/>
      <scheme val="minor"/>
    </font>
    <font>
      <sz val="11"/>
      <name val="Arial"/>
      <family val="2"/>
    </font>
    <font>
      <b/>
      <sz val="9"/>
      <color theme="1"/>
      <name val="Arial"/>
      <family val="2"/>
    </font>
    <font>
      <b/>
      <sz val="16"/>
      <color theme="1"/>
      <name val="Times New Roman"/>
      <family val="1"/>
    </font>
    <font>
      <sz val="16"/>
      <color theme="1"/>
      <name val="Times New Roman"/>
      <family val="1"/>
    </font>
    <font>
      <b/>
      <sz val="8"/>
      <color rgb="FFFF0000"/>
      <name val="Arial"/>
      <family val="2"/>
    </font>
    <font>
      <b/>
      <sz val="8"/>
      <name val="Arial"/>
      <family val="2"/>
    </font>
    <font>
      <sz val="9"/>
      <color theme="1"/>
      <name val="Arial"/>
      <family val="2"/>
    </font>
    <font>
      <b/>
      <sz val="9"/>
      <color indexed="81"/>
      <name val="Tahoma"/>
      <family val="2"/>
    </font>
    <font>
      <b/>
      <sz val="11"/>
      <color rgb="FFFF0000"/>
      <name val="Arial"/>
      <family val="2"/>
    </font>
    <font>
      <b/>
      <sz val="11"/>
      <color theme="1"/>
      <name val="Arial"/>
      <family val="2"/>
    </font>
    <font>
      <b/>
      <sz val="12"/>
      <color rgb="FFFF0000"/>
      <name val="Calibri"/>
      <family val="2"/>
      <scheme val="minor"/>
    </font>
    <font>
      <b/>
      <sz val="16"/>
      <color rgb="FFFF0000"/>
      <name val="Arial"/>
      <family val="2"/>
    </font>
    <font>
      <sz val="11"/>
      <color rgb="FFFF0000"/>
      <name val="Arial"/>
      <family val="2"/>
    </font>
    <font>
      <b/>
      <sz val="12"/>
      <name val="Calibri"/>
      <family val="2"/>
      <scheme val="minor"/>
    </font>
    <font>
      <sz val="12"/>
      <name val="Calibri"/>
      <family val="2"/>
      <scheme val="minor"/>
    </font>
    <font>
      <b/>
      <sz val="10"/>
      <color theme="1"/>
      <name val="Symbol"/>
      <family val="1"/>
      <charset val="2"/>
    </font>
    <font>
      <b/>
      <vertAlign val="subscript"/>
      <sz val="10"/>
      <color theme="1"/>
      <name val="Arial"/>
      <family val="2"/>
    </font>
    <font>
      <sz val="10"/>
      <color theme="1"/>
      <name val="Symbol"/>
      <family val="1"/>
      <charset val="2"/>
    </font>
  </fonts>
  <fills count="29">
    <fill>
      <patternFill patternType="none"/>
    </fill>
    <fill>
      <patternFill patternType="gray125"/>
    </fill>
    <fill>
      <patternFill patternType="solid">
        <fgColor theme="0" tint="-0.249977111117893"/>
        <bgColor indexed="64"/>
      </patternFill>
    </fill>
    <fill>
      <patternFill patternType="solid">
        <fgColor indexed="9"/>
        <bgColor indexed="9"/>
      </patternFill>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gray0625"/>
    </fill>
    <fill>
      <patternFill patternType="solid">
        <fgColor indexed="9"/>
        <bgColor indexed="64"/>
      </patternFill>
    </fill>
    <fill>
      <patternFill patternType="solid">
        <fgColor indexed="21"/>
        <bgColor indexed="64"/>
      </patternFill>
    </fill>
    <fill>
      <patternFill patternType="solid">
        <fgColor rgb="FFFFFF00"/>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92D050"/>
        <bgColor indexed="64"/>
      </patternFill>
    </fill>
  </fills>
  <borders count="10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top style="double">
        <color indexed="64"/>
      </top>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medium">
        <color indexed="64"/>
      </left>
      <right style="medium">
        <color indexed="64"/>
      </right>
      <top style="hair">
        <color indexed="64"/>
      </top>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thin">
        <color indexed="64"/>
      </left>
      <right/>
      <top/>
      <bottom style="hair">
        <color indexed="64"/>
      </bottom>
      <diagonal/>
    </border>
    <border>
      <left/>
      <right style="thin">
        <color indexed="64"/>
      </right>
      <top/>
      <bottom style="medium">
        <color indexed="64"/>
      </bottom>
      <diagonal/>
    </border>
    <border>
      <left/>
      <right style="medium">
        <color indexed="64"/>
      </right>
      <top/>
      <bottom/>
      <diagonal/>
    </border>
    <border>
      <left/>
      <right/>
      <top/>
      <bottom style="hair">
        <color auto="1"/>
      </bottom>
      <diagonal/>
    </border>
    <border>
      <left/>
      <right/>
      <top style="hair">
        <color auto="1"/>
      </top>
      <bottom style="hair">
        <color auto="1"/>
      </bottom>
      <diagonal/>
    </border>
    <border>
      <left style="medium">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bottom style="hair">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hair">
        <color indexed="64"/>
      </top>
      <bottom/>
      <diagonal/>
    </border>
    <border>
      <left/>
      <right/>
      <top style="medium">
        <color indexed="64"/>
      </top>
      <bottom/>
      <diagonal/>
    </border>
    <border>
      <left/>
      <right/>
      <top style="medium">
        <color indexed="64"/>
      </top>
      <bottom style="hair">
        <color indexed="64"/>
      </bottom>
      <diagonal/>
    </border>
    <border>
      <left style="medium">
        <color indexed="64"/>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auto="1"/>
      </left>
      <right/>
      <top style="medium">
        <color indexed="64"/>
      </top>
      <bottom style="medium">
        <color indexed="64"/>
      </bottom>
      <diagonal/>
    </border>
    <border>
      <left style="hair">
        <color auto="1"/>
      </left>
      <right style="medium">
        <color indexed="64"/>
      </right>
      <top style="hair">
        <color auto="1"/>
      </top>
      <bottom style="hair">
        <color auto="1"/>
      </bottom>
      <diagonal/>
    </border>
    <border>
      <left style="hair">
        <color auto="1"/>
      </left>
      <right style="medium">
        <color indexed="64"/>
      </right>
      <top style="medium">
        <color indexed="64"/>
      </top>
      <bottom style="medium">
        <color indexed="64"/>
      </bottom>
      <diagonal/>
    </border>
  </borders>
  <cellStyleXfs count="461">
    <xf numFmtId="0" fontId="0" fillId="0" borderId="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3" fontId="6"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5" fontId="9" fillId="0" borderId="0" applyFill="0" applyBorder="0" applyAlignment="0" applyProtection="0"/>
    <xf numFmtId="0" fontId="10" fillId="0" borderId="0"/>
    <xf numFmtId="2" fontId="9" fillId="0" borderId="0" applyFill="0" applyBorder="0" applyAlignment="0" applyProtection="0"/>
    <xf numFmtId="0" fontId="11" fillId="3" borderId="0">
      <protection locked="0"/>
    </xf>
    <xf numFmtId="41" fontId="1" fillId="0" borderId="0" applyFont="0" applyFill="0" applyBorder="0" applyAlignment="0" applyProtection="0"/>
    <xf numFmtId="41" fontId="6" fillId="0" borderId="0" applyFont="0" applyFill="0" applyBorder="0" applyAlignment="0" applyProtection="0"/>
    <xf numFmtId="41"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6"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applyFont="0" applyFill="0" applyBorder="0" applyAlignment="0" applyProtection="0"/>
    <xf numFmtId="167" fontId="9" fillId="0" borderId="0" applyFill="0" applyBorder="0" applyAlignment="0" applyProtection="0"/>
    <xf numFmtId="168" fontId="9" fillId="0" borderId="0" applyFill="0" applyBorder="0" applyAlignment="0" applyProtection="0"/>
    <xf numFmtId="0" fontId="6" fillId="0" borderId="0"/>
    <xf numFmtId="0" fontId="1" fillId="0" borderId="0"/>
    <xf numFmtId="0" fontId="1" fillId="0" borderId="0"/>
    <xf numFmtId="0" fontId="1" fillId="0" borderId="0"/>
    <xf numFmtId="0" fontId="1" fillId="0" borderId="0"/>
    <xf numFmtId="0" fontId="6" fillId="0" borderId="0"/>
    <xf numFmtId="0" fontId="8" fillId="0" borderId="0"/>
    <xf numFmtId="0" fontId="6" fillId="0" borderId="0"/>
    <xf numFmtId="0" fontId="6" fillId="0" borderId="0">
      <alignment wrapText="1"/>
    </xf>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1" fillId="0" borderId="0"/>
    <xf numFmtId="0" fontId="6" fillId="0" borderId="0"/>
    <xf numFmtId="0" fontId="1" fillId="0" borderId="0"/>
    <xf numFmtId="0" fontId="12" fillId="0" borderId="0"/>
    <xf numFmtId="0" fontId="12" fillId="0" borderId="0"/>
    <xf numFmtId="0" fontId="13" fillId="0" borderId="0"/>
    <xf numFmtId="9" fontId="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9" fillId="0" borderId="0" applyFill="0" applyBorder="0" applyAlignment="0" applyProtection="0"/>
    <xf numFmtId="3" fontId="6" fillId="0" borderId="0" applyFill="0" applyBorder="0" applyAlignment="0" applyProtection="0"/>
    <xf numFmtId="0" fontId="13" fillId="0" borderId="0"/>
    <xf numFmtId="0" fontId="12" fillId="0" borderId="0"/>
    <xf numFmtId="0" fontId="12" fillId="0" borderId="0"/>
    <xf numFmtId="0" fontId="13" fillId="0" borderId="0"/>
    <xf numFmtId="3" fontId="6" fillId="0" borderId="0" applyFill="0" applyBorder="0" applyAlignment="0" applyProtection="0"/>
    <xf numFmtId="3" fontId="9" fillId="0" borderId="0" applyFill="0" applyBorder="0" applyAlignment="0" applyProtection="0"/>
    <xf numFmtId="0" fontId="12" fillId="0" borderId="0"/>
    <xf numFmtId="0" fontId="13" fillId="0" borderId="0"/>
    <xf numFmtId="0" fontId="9" fillId="0" borderId="24" applyNumberFormat="0" applyFill="0" applyAlignment="0" applyProtection="0"/>
    <xf numFmtId="9" fontId="1" fillId="0" borderId="0" applyFont="0" applyFill="0" applyBorder="0" applyAlignment="0" applyProtection="0"/>
    <xf numFmtId="0" fontId="6" fillId="0" borderId="0">
      <alignment vertical="center"/>
    </xf>
    <xf numFmtId="43" fontId="1" fillId="0" borderId="0" applyFont="0" applyFill="0" applyBorder="0" applyAlignment="0" applyProtection="0"/>
    <xf numFmtId="0" fontId="30"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2" fillId="0" borderId="0"/>
    <xf numFmtId="0" fontId="12" fillId="0" borderId="0"/>
    <xf numFmtId="0" fontId="6" fillId="0" borderId="0"/>
    <xf numFmtId="0" fontId="6"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3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74" fontId="32" fillId="0" borderId="0" applyFont="0" applyFill="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4" fillId="0" borderId="0">
      <alignment vertical="center"/>
    </xf>
    <xf numFmtId="0" fontId="6" fillId="0" borderId="0">
      <alignment vertical="center"/>
    </xf>
    <xf numFmtId="0" fontId="6" fillId="0" borderId="0">
      <alignment vertical="center"/>
    </xf>
    <xf numFmtId="0" fontId="30" fillId="0" borderId="0" applyNumberFormat="0" applyFill="0" applyBorder="0" applyAlignment="0" applyProtection="0"/>
    <xf numFmtId="0" fontId="30" fillId="0" borderId="0" applyNumberFormat="0" applyFill="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6" fillId="14" borderId="73" applyNumberFormat="0" applyAlignment="0" applyProtection="0"/>
    <xf numFmtId="0" fontId="36" fillId="14" borderId="73" applyNumberFormat="0" applyAlignment="0" applyProtection="0"/>
    <xf numFmtId="0" fontId="36" fillId="14" borderId="73" applyNumberFormat="0" applyAlignment="0" applyProtection="0"/>
    <xf numFmtId="0" fontId="36" fillId="14" borderId="73" applyNumberFormat="0" applyAlignment="0" applyProtection="0"/>
    <xf numFmtId="0" fontId="36" fillId="14" borderId="73" applyNumberFormat="0" applyAlignment="0" applyProtection="0"/>
    <xf numFmtId="38" fontId="32" fillId="0" borderId="0" applyFont="0" applyFill="0" applyBorder="0" applyAlignment="0" applyProtection="0"/>
    <xf numFmtId="4" fontId="37" fillId="0" borderId="0" applyFont="0" applyFill="0" applyBorder="0" applyAlignment="0" applyProtection="0"/>
    <xf numFmtId="0" fontId="6" fillId="0" borderId="0" applyNumberFormat="0" applyFill="0" applyAlignment="0"/>
    <xf numFmtId="0" fontId="6" fillId="0" borderId="0" applyNumberFormat="0" applyFill="0" applyAlignment="0"/>
    <xf numFmtId="0" fontId="38" fillId="15" borderId="74" applyNumberFormat="0" applyAlignment="0" applyProtection="0"/>
    <xf numFmtId="0" fontId="38" fillId="15" borderId="74" applyNumberFormat="0" applyAlignment="0" applyProtection="0"/>
    <xf numFmtId="0" fontId="38" fillId="15" borderId="74" applyNumberFormat="0" applyAlignment="0" applyProtection="0"/>
    <xf numFmtId="0" fontId="38" fillId="15" borderId="74" applyNumberFormat="0" applyAlignment="0" applyProtection="0"/>
    <xf numFmtId="0" fontId="38" fillId="15" borderId="74" applyNumberFormat="0" applyAlignment="0" applyProtection="0"/>
    <xf numFmtId="0" fontId="39" fillId="0" borderId="75" applyNumberFormat="0" applyFill="0" applyAlignment="0" applyProtection="0"/>
    <xf numFmtId="0" fontId="39" fillId="0" borderId="75" applyNumberFormat="0" applyFill="0" applyAlignment="0" applyProtection="0"/>
    <xf numFmtId="0" fontId="39" fillId="0" borderId="75" applyNumberFormat="0" applyFill="0" applyAlignment="0" applyProtection="0"/>
    <xf numFmtId="0" fontId="39" fillId="0" borderId="75" applyNumberFormat="0" applyFill="0" applyAlignment="0" applyProtection="0"/>
    <xf numFmtId="0" fontId="39" fillId="0" borderId="75" applyNumberFormat="0" applyFill="0" applyAlignment="0" applyProtection="0"/>
    <xf numFmtId="175" fontId="8" fillId="0" borderId="0" applyFont="0" applyFill="0" applyBorder="0" applyAlignment="0" applyProtection="0"/>
    <xf numFmtId="176" fontId="8" fillId="0" borderId="0" applyFont="0" applyFill="0" applyBorder="0" applyAlignment="0" applyProtection="0"/>
    <xf numFmtId="3" fontId="40" fillId="0" borderId="0" applyFont="0" applyFill="0" applyBorder="0" applyAlignment="0" applyProtection="0"/>
    <xf numFmtId="177" fontId="8" fillId="0" borderId="0" applyFont="0" applyFill="0" applyBorder="0" applyAlignment="0" applyProtection="0"/>
    <xf numFmtId="178" fontId="8"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40" fillId="0" borderId="0" applyFont="0" applyFill="0" applyBorder="0" applyAlignment="0" applyProtection="0"/>
    <xf numFmtId="0" fontId="6" fillId="0" borderId="0"/>
    <xf numFmtId="0" fontId="6"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42" fillId="10" borderId="73" applyNumberFormat="0" applyAlignment="0" applyProtection="0"/>
    <xf numFmtId="0" fontId="42" fillId="10" borderId="73" applyNumberFormat="0" applyAlignment="0" applyProtection="0"/>
    <xf numFmtId="0" fontId="42" fillId="10" borderId="73" applyNumberFormat="0" applyAlignment="0" applyProtection="0"/>
    <xf numFmtId="0" fontId="42" fillId="10" borderId="73" applyNumberFormat="0" applyAlignment="0" applyProtection="0"/>
    <xf numFmtId="0" fontId="42" fillId="10" borderId="73" applyNumberFormat="0" applyAlignment="0" applyProtection="0"/>
    <xf numFmtId="0" fontId="6" fillId="0" borderId="0"/>
    <xf numFmtId="0" fontId="6" fillId="0" borderId="0"/>
    <xf numFmtId="180" fontId="6" fillId="0" borderId="0" applyFill="0" applyBorder="0" applyAlignment="0" applyProtection="0"/>
    <xf numFmtId="2" fontId="6" fillId="0" borderId="0" applyFill="0" applyBorder="0" applyAlignment="0" applyProtection="0"/>
    <xf numFmtId="2" fontId="40" fillId="0" borderId="0" applyFont="0" applyFill="0" applyBorder="0" applyAlignment="0" applyProtection="0"/>
    <xf numFmtId="0" fontId="43" fillId="0" borderId="0" applyNumberFormat="0" applyFill="0" applyBorder="0" applyAlignment="0" applyProtection="0">
      <alignment vertical="top"/>
      <protection locked="0"/>
    </xf>
    <xf numFmtId="0" fontId="44" fillId="0" borderId="0" applyProtection="0">
      <alignment horizontal="left"/>
      <protection locked="0"/>
    </xf>
    <xf numFmtId="49" fontId="45" fillId="0" borderId="0" applyNumberFormat="0" applyProtection="0">
      <alignment horizontal="center"/>
      <protection locked="0"/>
    </xf>
    <xf numFmtId="49" fontId="44" fillId="0" borderId="0" applyProtection="0">
      <alignment horizontal="left"/>
      <protection locked="0"/>
    </xf>
    <xf numFmtId="181" fontId="44" fillId="0" borderId="0" applyFont="0" applyFill="0" applyBorder="0" applyProtection="0">
      <protection hidden="1"/>
    </xf>
    <xf numFmtId="0" fontId="46"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alignment vertical="top"/>
      <protection locked="0"/>
    </xf>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6" fillId="0" borderId="0"/>
    <xf numFmtId="0" fontId="6" fillId="0" borderId="0"/>
    <xf numFmtId="0" fontId="6" fillId="0" borderId="0"/>
    <xf numFmtId="0" fontId="6" fillId="0" borderId="0"/>
    <xf numFmtId="0" fontId="6" fillId="0" borderId="0" applyNumberFormat="0" applyFill="0" applyBorder="0" applyAlignment="0" applyProtection="0">
      <alignment vertical="top"/>
      <protection locked="0"/>
    </xf>
    <xf numFmtId="182" fontId="6" fillId="0" borderId="0" applyFont="0" applyFill="0" applyBorder="0" applyAlignment="0" applyProtection="0"/>
    <xf numFmtId="43" fontId="6" fillId="0" borderId="0" applyNumberFormat="0" applyFill="0" applyBorder="0" applyAlignment="0" applyProtection="0"/>
    <xf numFmtId="43" fontId="6" fillId="0" borderId="0" applyNumberFormat="0" applyFill="0" applyBorder="0" applyAlignment="0" applyProtection="0"/>
    <xf numFmtId="43" fontId="6" fillId="0" borderId="0" applyNumberFormat="0" applyFill="0" applyBorder="0" applyAlignment="0" applyProtection="0"/>
    <xf numFmtId="43" fontId="6" fillId="0" borderId="0" applyNumberFormat="0" applyFill="0" applyBorder="0" applyAlignment="0" applyProtection="0"/>
    <xf numFmtId="43" fontId="6" fillId="0" borderId="0" applyNumberFormat="0" applyFill="0" applyBorder="0" applyAlignment="0" applyProtection="0"/>
    <xf numFmtId="43" fontId="6" fillId="0" borderId="0" applyFont="0" applyFill="0" applyBorder="0" applyAlignment="0" applyProtection="0"/>
    <xf numFmtId="38" fontId="32" fillId="0" borderId="0" applyFont="0" applyFill="0" applyBorder="0" applyAlignment="0" applyProtection="0"/>
    <xf numFmtId="40" fontId="32" fillId="0" borderId="0" applyFont="0" applyFill="0" applyBorder="0" applyAlignment="0" applyProtection="0"/>
    <xf numFmtId="0" fontId="32" fillId="0" borderId="0" applyFont="0" applyFill="0" applyBorder="0" applyAlignment="0" applyProtection="0"/>
    <xf numFmtId="167" fontId="6" fillId="0" borderId="0" applyFont="0" applyFill="0" applyBorder="0" applyAlignment="0" applyProtection="0"/>
    <xf numFmtId="183" fontId="6" fillId="0" borderId="0" applyFill="0" applyBorder="0" applyAlignment="0" applyProtection="0"/>
    <xf numFmtId="184" fontId="6" fillId="0" borderId="0" applyFill="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1" fillId="0" borderId="0"/>
    <xf numFmtId="0" fontId="51" fillId="0" borderId="0"/>
    <xf numFmtId="0" fontId="34" fillId="0" borderId="0"/>
    <xf numFmtId="0" fontId="6" fillId="0" borderId="0" applyNumberFormat="0" applyFill="0" applyBorder="0" applyAlignment="0" applyProtection="0"/>
    <xf numFmtId="0" fontId="6" fillId="0" borderId="0">
      <alignment vertical="center"/>
    </xf>
    <xf numFmtId="0" fontId="6" fillId="0" borderId="0"/>
    <xf numFmtId="0" fontId="6" fillId="0" borderId="0"/>
    <xf numFmtId="0" fontId="52" fillId="0" borderId="0"/>
    <xf numFmtId="0" fontId="52" fillId="0" borderId="0"/>
    <xf numFmtId="0" fontId="52" fillId="0" borderId="0"/>
    <xf numFmtId="0" fontId="52" fillId="0" borderId="0"/>
    <xf numFmtId="0" fontId="52" fillId="0" borderId="0"/>
    <xf numFmtId="0" fontId="6" fillId="0" borderId="0"/>
    <xf numFmtId="0" fontId="6" fillId="0" borderId="0"/>
    <xf numFmtId="0" fontId="52" fillId="0" borderId="0"/>
    <xf numFmtId="0" fontId="6" fillId="0" borderId="0"/>
    <xf numFmtId="0" fontId="6" fillId="0" borderId="0"/>
    <xf numFmtId="0" fontId="6" fillId="0" borderId="0" applyFill="0"/>
    <xf numFmtId="0" fontId="6" fillId="0" borderId="0"/>
    <xf numFmtId="0" fontId="6" fillId="0" borderId="0"/>
    <xf numFmtId="0" fontId="6" fillId="0" borderId="0"/>
    <xf numFmtId="0" fontId="6" fillId="0" borderId="0"/>
    <xf numFmtId="0" fontId="6" fillId="0" borderId="0"/>
    <xf numFmtId="0" fontId="53" fillId="0" borderId="0"/>
    <xf numFmtId="0" fontId="11" fillId="7" borderId="76" applyNumberFormat="0" applyFont="0" applyAlignment="0" applyProtection="0"/>
    <xf numFmtId="0" fontId="11" fillId="7" borderId="76" applyNumberFormat="0" applyFont="0" applyAlignment="0" applyProtection="0"/>
    <xf numFmtId="0" fontId="11" fillId="7" borderId="76" applyNumberFormat="0" applyFont="0" applyAlignment="0" applyProtection="0"/>
    <xf numFmtId="0" fontId="11" fillId="7" borderId="76" applyNumberFormat="0" applyFont="0" applyAlignment="0" applyProtection="0"/>
    <xf numFmtId="0" fontId="11" fillId="7" borderId="76" applyNumberFormat="0" applyFont="0" applyAlignment="0" applyProtection="0"/>
    <xf numFmtId="0" fontId="37" fillId="21" borderId="0"/>
    <xf numFmtId="40" fontId="54" fillId="22" borderId="0">
      <alignment horizontal="right"/>
    </xf>
    <xf numFmtId="0" fontId="55" fillId="23" borderId="0"/>
    <xf numFmtId="9" fontId="6" fillId="0" borderId="0" applyFont="0" applyFill="0" applyBorder="0" applyAlignment="0" applyProtection="0"/>
    <xf numFmtId="9" fontId="9" fillId="0" borderId="0" applyFont="0" applyFill="0" applyBorder="0" applyAlignment="0" applyProtection="0"/>
    <xf numFmtId="169" fontId="6" fillId="0" borderId="0" applyFill="0" applyBorder="0" applyAlignment="0" applyProtection="0"/>
    <xf numFmtId="3" fontId="6" fillId="0" borderId="0" applyFill="0" applyBorder="0" applyAlignment="0" applyProtection="0"/>
    <xf numFmtId="3" fontId="6" fillId="0" borderId="0" applyFill="0" applyBorder="0" applyAlignment="0" applyProtection="0"/>
    <xf numFmtId="3" fontId="6" fillId="0" borderId="0" applyFill="0" applyBorder="0" applyAlignment="0" applyProtection="0"/>
    <xf numFmtId="3" fontId="6" fillId="0" borderId="0" applyFill="0" applyBorder="0" applyAlignment="0" applyProtection="0"/>
    <xf numFmtId="3" fontId="6" fillId="0" borderId="0" applyFill="0" applyBorder="0" applyAlignment="0" applyProtection="0"/>
    <xf numFmtId="3" fontId="6" fillId="0" borderId="0" applyFill="0" applyBorder="0" applyAlignment="0" applyProtection="0"/>
    <xf numFmtId="3" fontId="6" fillId="0" borderId="0" applyFill="0" applyBorder="0" applyAlignment="0" applyProtection="0"/>
    <xf numFmtId="3" fontId="6" fillId="0" borderId="0" applyFill="0" applyBorder="0" applyAlignment="0" applyProtection="0"/>
    <xf numFmtId="3" fontId="6" fillId="0" borderId="0" applyFill="0" applyBorder="0" applyAlignment="0" applyProtection="0"/>
    <xf numFmtId="0" fontId="56" fillId="14" borderId="77" applyNumberFormat="0" applyAlignment="0" applyProtection="0"/>
    <xf numFmtId="0" fontId="56" fillId="14" borderId="77" applyNumberFormat="0" applyAlignment="0" applyProtection="0"/>
    <xf numFmtId="0" fontId="56" fillId="14" borderId="77" applyNumberFormat="0" applyAlignment="0" applyProtection="0"/>
    <xf numFmtId="0" fontId="56" fillId="14" borderId="77" applyNumberFormat="0" applyAlignment="0" applyProtection="0"/>
    <xf numFmtId="0" fontId="56" fillId="14" borderId="77" applyNumberFormat="0" applyAlignment="0" applyProtection="0"/>
    <xf numFmtId="0" fontId="6"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78" applyNumberFormat="0" applyFill="0" applyAlignment="0" applyProtection="0"/>
    <xf numFmtId="0" fontId="58" fillId="0" borderId="78" applyNumberFormat="0" applyFill="0" applyAlignment="0" applyProtection="0"/>
    <xf numFmtId="0" fontId="58" fillId="0" borderId="78" applyNumberFormat="0" applyFill="0" applyAlignment="0" applyProtection="0"/>
    <xf numFmtId="0" fontId="58" fillId="0" borderId="78" applyNumberFormat="0" applyFill="0" applyAlignment="0" applyProtection="0"/>
    <xf numFmtId="0" fontId="58" fillId="0" borderId="78" applyNumberFormat="0" applyFill="0" applyAlignment="0" applyProtection="0"/>
    <xf numFmtId="0" fontId="59" fillId="0" borderId="79" applyNumberFormat="0" applyFill="0" applyAlignment="0" applyProtection="0"/>
    <xf numFmtId="0" fontId="59" fillId="0" borderId="79" applyNumberFormat="0" applyFill="0" applyAlignment="0" applyProtection="0"/>
    <xf numFmtId="0" fontId="59" fillId="0" borderId="79" applyNumberFormat="0" applyFill="0" applyAlignment="0" applyProtection="0"/>
    <xf numFmtId="0" fontId="59" fillId="0" borderId="79" applyNumberFormat="0" applyFill="0" applyAlignment="0" applyProtection="0"/>
    <xf numFmtId="0" fontId="59" fillId="0" borderId="79" applyNumberFormat="0" applyFill="0" applyAlignment="0" applyProtection="0"/>
    <xf numFmtId="0" fontId="41" fillId="0" borderId="80" applyNumberFormat="0" applyFill="0" applyAlignment="0" applyProtection="0"/>
    <xf numFmtId="0" fontId="41" fillId="0" borderId="80" applyNumberFormat="0" applyFill="0" applyAlignment="0" applyProtection="0"/>
    <xf numFmtId="0" fontId="41" fillId="0" borderId="80" applyNumberFormat="0" applyFill="0" applyAlignment="0" applyProtection="0"/>
    <xf numFmtId="0" fontId="41" fillId="0" borderId="80" applyNumberFormat="0" applyFill="0" applyAlignment="0" applyProtection="0"/>
    <xf numFmtId="0" fontId="41" fillId="0" borderId="80" applyNumberFormat="0" applyFill="0" applyAlignment="0" applyProtection="0"/>
    <xf numFmtId="0" fontId="60" fillId="0" borderId="81" applyNumberFormat="0" applyFill="0" applyAlignment="0" applyProtection="0"/>
    <xf numFmtId="0" fontId="60" fillId="0" borderId="81" applyNumberFormat="0" applyFill="0" applyAlignment="0" applyProtection="0"/>
    <xf numFmtId="0" fontId="60" fillId="0" borderId="81" applyNumberFormat="0" applyFill="0" applyAlignment="0" applyProtection="0"/>
    <xf numFmtId="0" fontId="60" fillId="0" borderId="81" applyNumberFormat="0" applyFill="0" applyAlignment="0" applyProtection="0"/>
    <xf numFmtId="185" fontId="6" fillId="0" borderId="0" applyFont="0" applyFill="0" applyBorder="0" applyAlignment="0" applyProtection="0"/>
    <xf numFmtId="0" fontId="6" fillId="0" borderId="0" applyFont="0" applyFill="0" applyBorder="0" applyAlignment="0" applyProtection="0"/>
  </cellStyleXfs>
  <cellXfs count="995">
    <xf numFmtId="0" fontId="0" fillId="0" borderId="0" xfId="0"/>
    <xf numFmtId="0" fontId="2" fillId="0" borderId="0" xfId="0" applyFont="1"/>
    <xf numFmtId="0" fontId="3" fillId="0" borderId="0" xfId="0" applyFont="1"/>
    <xf numFmtId="0" fontId="5" fillId="2" borderId="1" xfId="0" applyFont="1" applyFill="1" applyBorder="1" applyAlignment="1">
      <alignment horizontal="centerContinuous"/>
    </xf>
    <xf numFmtId="0" fontId="5" fillId="2" borderId="2" xfId="0" applyFont="1" applyFill="1" applyBorder="1" applyAlignment="1">
      <alignment horizontal="centerContinuous"/>
    </xf>
    <xf numFmtId="0" fontId="5" fillId="2" borderId="3" xfId="0" applyFont="1" applyFill="1" applyBorder="1" applyAlignment="1">
      <alignment horizontal="centerContinuous"/>
    </xf>
    <xf numFmtId="0" fontId="5" fillId="2" borderId="4" xfId="0" applyFont="1" applyFill="1" applyBorder="1" applyAlignment="1">
      <alignment horizontal="left" vertical="center" indent="1"/>
    </xf>
    <xf numFmtId="0" fontId="5" fillId="2" borderId="6"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50" xfId="0" applyFont="1" applyFill="1" applyBorder="1" applyAlignment="1">
      <alignment horizontal="center" vertical="center" wrapText="1"/>
    </xf>
    <xf numFmtId="0" fontId="0" fillId="2" borderId="2" xfId="0" applyFill="1" applyBorder="1" applyAlignment="1">
      <alignment horizontal="centerContinuous"/>
    </xf>
    <xf numFmtId="0" fontId="0" fillId="2" borderId="3" xfId="0" applyFill="1" applyBorder="1" applyAlignment="1">
      <alignment horizontal="centerContinuous"/>
    </xf>
    <xf numFmtId="0" fontId="5" fillId="2" borderId="4" xfId="0" applyFont="1" applyFill="1" applyBorder="1" applyAlignment="1">
      <alignment horizontal="center" vertical="center" wrapText="1"/>
    </xf>
    <xf numFmtId="0" fontId="0" fillId="0" borderId="0" xfId="0" applyBorder="1"/>
    <xf numFmtId="0" fontId="15" fillId="0" borderId="0" xfId="0" applyFont="1"/>
    <xf numFmtId="3" fontId="4" fillId="0" borderId="0" xfId="0" applyNumberFormat="1" applyFont="1" applyFill="1" applyBorder="1"/>
    <xf numFmtId="0" fontId="5" fillId="2" borderId="41" xfId="0" applyFont="1" applyFill="1" applyBorder="1" applyAlignment="1">
      <alignment horizontal="center" vertical="center" wrapText="1"/>
    </xf>
    <xf numFmtId="9" fontId="4" fillId="2" borderId="25" xfId="0" applyNumberFormat="1" applyFont="1" applyFill="1" applyBorder="1" applyAlignment="1">
      <alignment horizontal="center" vertical="center" wrapText="1"/>
    </xf>
    <xf numFmtId="9" fontId="4" fillId="2" borderId="26" xfId="0" applyNumberFormat="1" applyFont="1" applyFill="1" applyBorder="1" applyAlignment="1">
      <alignment horizontal="center" vertical="center" wrapText="1"/>
    </xf>
    <xf numFmtId="9" fontId="4" fillId="2" borderId="27" xfId="0" applyNumberFormat="1" applyFont="1" applyFill="1" applyBorder="1" applyAlignment="1">
      <alignment horizontal="center" vertical="center" wrapText="1"/>
    </xf>
    <xf numFmtId="0" fontId="5" fillId="2" borderId="4" xfId="0" applyFont="1" applyFill="1" applyBorder="1" applyAlignment="1">
      <alignment vertical="center" wrapText="1"/>
    </xf>
    <xf numFmtId="0" fontId="5" fillId="2" borderId="64" xfId="0" applyFont="1" applyFill="1" applyBorder="1" applyAlignment="1">
      <alignment horizontal="left" indent="1"/>
    </xf>
    <xf numFmtId="3" fontId="4" fillId="2" borderId="66" xfId="0" applyNumberFormat="1" applyFont="1" applyFill="1" applyBorder="1"/>
    <xf numFmtId="3" fontId="4" fillId="2" borderId="67" xfId="0" applyNumberFormat="1" applyFont="1" applyFill="1" applyBorder="1"/>
    <xf numFmtId="3" fontId="4" fillId="2" borderId="5" xfId="0" applyNumberFormat="1" applyFont="1" applyFill="1" applyBorder="1"/>
    <xf numFmtId="3" fontId="4" fillId="2" borderId="6" xfId="0" applyNumberFormat="1" applyFont="1" applyFill="1" applyBorder="1"/>
    <xf numFmtId="0" fontId="5" fillId="2" borderId="4" xfId="0" applyFont="1" applyFill="1" applyBorder="1" applyAlignment="1">
      <alignment horizontal="left" indent="1"/>
    </xf>
    <xf numFmtId="3" fontId="4" fillId="2" borderId="63" xfId="0" applyNumberFormat="1" applyFont="1" applyFill="1" applyBorder="1"/>
    <xf numFmtId="3" fontId="4" fillId="2" borderId="20" xfId="0" applyNumberFormat="1" applyFont="1" applyFill="1" applyBorder="1"/>
    <xf numFmtId="3" fontId="4" fillId="2" borderId="64" xfId="0" applyNumberFormat="1" applyFont="1" applyFill="1" applyBorder="1"/>
    <xf numFmtId="3" fontId="4" fillId="2" borderId="4" xfId="0" applyNumberFormat="1" applyFont="1" applyFill="1" applyBorder="1"/>
    <xf numFmtId="0" fontId="5" fillId="2" borderId="4" xfId="0" applyFont="1" applyFill="1" applyBorder="1" applyAlignment="1">
      <alignment horizontal="left" vertical="center" wrapText="1" indent="1"/>
    </xf>
    <xf numFmtId="170" fontId="4" fillId="2" borderId="25" xfId="0" applyNumberFormat="1" applyFont="1" applyFill="1" applyBorder="1" applyAlignment="1">
      <alignment horizontal="center" vertical="center" wrapText="1"/>
    </xf>
    <xf numFmtId="170" fontId="4" fillId="2" borderId="27" xfId="0" applyNumberFormat="1" applyFont="1" applyFill="1" applyBorder="1" applyAlignment="1">
      <alignment horizontal="center" vertical="center" wrapText="1"/>
    </xf>
    <xf numFmtId="170" fontId="4" fillId="2" borderId="51" xfId="0" applyNumberFormat="1" applyFont="1" applyFill="1" applyBorder="1" applyAlignment="1">
      <alignment horizontal="center" vertical="center" wrapText="1"/>
    </xf>
    <xf numFmtId="0" fontId="5" fillId="2" borderId="39"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0" borderId="0" xfId="0" applyFill="1"/>
    <xf numFmtId="0" fontId="5" fillId="2" borderId="40" xfId="0" applyFont="1" applyFill="1" applyBorder="1" applyAlignment="1">
      <alignment horizontal="center"/>
    </xf>
    <xf numFmtId="0" fontId="4" fillId="4" borderId="0" xfId="0" applyFont="1" applyFill="1"/>
    <xf numFmtId="3" fontId="4" fillId="4" borderId="18" xfId="0" applyNumberFormat="1" applyFont="1" applyFill="1" applyBorder="1"/>
    <xf numFmtId="3" fontId="4" fillId="4" borderId="19" xfId="0" applyNumberFormat="1" applyFont="1" applyFill="1" applyBorder="1"/>
    <xf numFmtId="3" fontId="4" fillId="4" borderId="27" xfId="0" applyNumberFormat="1" applyFont="1" applyFill="1" applyBorder="1"/>
    <xf numFmtId="0" fontId="5" fillId="4" borderId="8" xfId="0" applyFont="1" applyFill="1" applyBorder="1" applyAlignment="1">
      <alignment horizontal="left" indent="1"/>
    </xf>
    <xf numFmtId="3" fontId="4" fillId="4" borderId="9" xfId="0" applyNumberFormat="1" applyFont="1" applyFill="1" applyBorder="1"/>
    <xf numFmtId="3" fontId="4" fillId="4" borderId="10" xfId="0" applyNumberFormat="1" applyFont="1" applyFill="1" applyBorder="1"/>
    <xf numFmtId="3" fontId="4" fillId="4" borderId="11" xfId="0" applyNumberFormat="1" applyFont="1" applyFill="1" applyBorder="1"/>
    <xf numFmtId="0" fontId="4" fillId="4" borderId="12" xfId="0" applyFont="1" applyFill="1" applyBorder="1" applyAlignment="1">
      <alignment horizontal="left" indent="2"/>
    </xf>
    <xf numFmtId="3" fontId="4" fillId="4" borderId="13" xfId="0" applyNumberFormat="1" applyFont="1" applyFill="1" applyBorder="1"/>
    <xf numFmtId="3" fontId="4" fillId="4" borderId="14" xfId="0" applyNumberFormat="1" applyFont="1" applyFill="1" applyBorder="1"/>
    <xf numFmtId="3" fontId="4" fillId="4" borderId="15" xfId="0" applyNumberFormat="1" applyFont="1" applyFill="1" applyBorder="1"/>
    <xf numFmtId="0" fontId="4" fillId="4" borderId="32" xfId="0" applyFont="1" applyFill="1" applyBorder="1" applyAlignment="1">
      <alignment horizontal="left" indent="2"/>
    </xf>
    <xf numFmtId="3" fontId="4" fillId="4" borderId="33" xfId="0" applyNumberFormat="1" applyFont="1" applyFill="1" applyBorder="1"/>
    <xf numFmtId="3" fontId="4" fillId="4" borderId="42" xfId="0" applyNumberFormat="1" applyFont="1" applyFill="1" applyBorder="1"/>
    <xf numFmtId="0" fontId="4" fillId="4" borderId="44" xfId="0" applyFont="1" applyFill="1" applyBorder="1" applyAlignment="1">
      <alignment horizontal="left" indent="1"/>
    </xf>
    <xf numFmtId="3" fontId="4" fillId="4" borderId="57" xfId="0" applyNumberFormat="1" applyFont="1" applyFill="1" applyBorder="1"/>
    <xf numFmtId="0" fontId="5" fillId="4" borderId="12" xfId="0" applyFont="1" applyFill="1" applyBorder="1" applyAlignment="1">
      <alignment horizontal="left" indent="1"/>
    </xf>
    <xf numFmtId="0" fontId="4" fillId="4" borderId="32" xfId="0" applyFont="1" applyFill="1" applyBorder="1" applyAlignment="1">
      <alignment horizontal="left" indent="1"/>
    </xf>
    <xf numFmtId="0" fontId="4" fillId="4" borderId="8" xfId="0" applyFont="1" applyFill="1" applyBorder="1" applyAlignment="1">
      <alignment horizontal="left" indent="1"/>
    </xf>
    <xf numFmtId="3" fontId="4" fillId="4" borderId="25" xfId="0" applyNumberFormat="1" applyFont="1" applyFill="1" applyBorder="1"/>
    <xf numFmtId="0" fontId="4" fillId="4" borderId="12" xfId="0" applyFont="1" applyFill="1" applyBorder="1" applyAlignment="1">
      <alignment horizontal="left" indent="1"/>
    </xf>
    <xf numFmtId="3" fontId="4" fillId="4" borderId="26" xfId="0" applyNumberFormat="1" applyFont="1" applyFill="1" applyBorder="1"/>
    <xf numFmtId="0" fontId="19" fillId="4" borderId="8" xfId="0" applyFont="1" applyFill="1" applyBorder="1" applyAlignment="1">
      <alignment horizontal="left" vertical="center" indent="1"/>
    </xf>
    <xf numFmtId="3" fontId="4" fillId="4" borderId="8" xfId="0" applyNumberFormat="1" applyFont="1" applyFill="1" applyBorder="1"/>
    <xf numFmtId="0" fontId="19" fillId="4" borderId="12" xfId="0" applyFont="1" applyFill="1" applyBorder="1" applyAlignment="1">
      <alignment horizontal="left" vertical="center" indent="1"/>
    </xf>
    <xf numFmtId="3" fontId="4" fillId="4" borderId="12" xfId="0" applyNumberFormat="1" applyFont="1" applyFill="1" applyBorder="1"/>
    <xf numFmtId="3" fontId="4" fillId="4" borderId="16" xfId="0" applyNumberFormat="1" applyFont="1" applyFill="1" applyBorder="1"/>
    <xf numFmtId="3" fontId="4" fillId="4" borderId="21" xfId="0" applyNumberFormat="1" applyFont="1" applyFill="1" applyBorder="1"/>
    <xf numFmtId="3" fontId="4" fillId="4" borderId="22" xfId="0" applyNumberFormat="1" applyFont="1" applyFill="1" applyBorder="1"/>
    <xf numFmtId="0" fontId="4" fillId="4" borderId="16" xfId="0" applyFont="1" applyFill="1" applyBorder="1" applyAlignment="1">
      <alignment horizontal="left" indent="1"/>
    </xf>
    <xf numFmtId="3" fontId="4" fillId="4" borderId="17" xfId="0" applyNumberFormat="1" applyFont="1" applyFill="1" applyBorder="1"/>
    <xf numFmtId="3" fontId="4" fillId="4" borderId="23" xfId="0" applyNumberFormat="1" applyFont="1" applyFill="1" applyBorder="1"/>
    <xf numFmtId="0" fontId="6" fillId="4" borderId="16" xfId="0" applyFont="1" applyFill="1" applyBorder="1" applyAlignment="1">
      <alignment horizontal="left" indent="1"/>
    </xf>
    <xf numFmtId="9" fontId="4" fillId="4" borderId="12" xfId="84" applyNumberFormat="1" applyFont="1" applyFill="1" applyBorder="1" applyAlignment="1">
      <alignment horizontal="center"/>
    </xf>
    <xf numFmtId="0" fontId="4" fillId="4" borderId="44" xfId="0" applyFont="1" applyFill="1" applyBorder="1" applyAlignment="1">
      <alignment horizontal="left" indent="2"/>
    </xf>
    <xf numFmtId="3" fontId="4" fillId="4" borderId="45" xfId="0" applyNumberFormat="1" applyFont="1" applyFill="1" applyBorder="1"/>
    <xf numFmtId="3" fontId="4" fillId="4" borderId="46" xfId="0" applyNumberFormat="1" applyFont="1" applyFill="1" applyBorder="1"/>
    <xf numFmtId="3" fontId="4" fillId="4" borderId="49" xfId="0" applyNumberFormat="1" applyFont="1" applyFill="1" applyBorder="1"/>
    <xf numFmtId="3" fontId="4" fillId="4" borderId="44" xfId="0" applyNumberFormat="1" applyFont="1" applyFill="1" applyBorder="1"/>
    <xf numFmtId="0" fontId="4" fillId="4" borderId="54" xfId="0" applyFont="1" applyFill="1" applyBorder="1" applyAlignment="1">
      <alignment horizontal="left" indent="2"/>
    </xf>
    <xf numFmtId="3" fontId="4" fillId="4" borderId="69" xfId="0" applyNumberFormat="1" applyFont="1" applyFill="1" applyBorder="1"/>
    <xf numFmtId="3" fontId="4" fillId="4" borderId="54" xfId="0" applyNumberFormat="1" applyFont="1" applyFill="1" applyBorder="1"/>
    <xf numFmtId="0" fontId="5" fillId="4" borderId="44" xfId="0" applyFont="1" applyFill="1" applyBorder="1" applyAlignment="1">
      <alignment horizontal="left" indent="2"/>
    </xf>
    <xf numFmtId="3" fontId="4" fillId="4" borderId="43" xfId="0" applyNumberFormat="1" applyFont="1" applyFill="1" applyBorder="1"/>
    <xf numFmtId="3" fontId="4" fillId="4" borderId="32" xfId="0" applyNumberFormat="1" applyFont="1" applyFill="1" applyBorder="1"/>
    <xf numFmtId="0" fontId="4" fillId="4" borderId="54" xfId="0" applyFont="1" applyFill="1" applyBorder="1" applyAlignment="1">
      <alignment horizontal="left" indent="1"/>
    </xf>
    <xf numFmtId="3" fontId="4" fillId="4" borderId="51" xfId="0" applyNumberFormat="1" applyFont="1" applyFill="1" applyBorder="1"/>
    <xf numFmtId="170" fontId="4" fillId="4" borderId="55" xfId="0" applyNumberFormat="1" applyFont="1" applyFill="1" applyBorder="1" applyAlignment="1">
      <alignment horizontal="center"/>
    </xf>
    <xf numFmtId="170" fontId="4" fillId="4" borderId="56" xfId="0" applyNumberFormat="1" applyFont="1" applyFill="1" applyBorder="1" applyAlignment="1">
      <alignment horizontal="center"/>
    </xf>
    <xf numFmtId="170" fontId="4" fillId="4" borderId="51" xfId="0" applyNumberFormat="1" applyFont="1" applyFill="1" applyBorder="1" applyAlignment="1">
      <alignment horizontal="center"/>
    </xf>
    <xf numFmtId="0" fontId="4" fillId="4" borderId="8" xfId="0" applyFont="1" applyFill="1" applyBorder="1" applyAlignment="1">
      <alignment horizontal="center" vertical="center" wrapText="1"/>
    </xf>
    <xf numFmtId="0" fontId="4" fillId="4" borderId="54"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18" fillId="2" borderId="4" xfId="0" applyFont="1" applyFill="1" applyBorder="1" applyAlignment="1">
      <alignment horizontal="left" vertical="center" indent="1"/>
    </xf>
    <xf numFmtId="0" fontId="18" fillId="2" borderId="6"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5" fillId="2" borderId="4" xfId="0" applyFont="1" applyFill="1" applyBorder="1" applyAlignment="1">
      <alignment horizontal="center" vertical="center"/>
    </xf>
    <xf numFmtId="0" fontId="19" fillId="4" borderId="32" xfId="0" applyFont="1" applyFill="1" applyBorder="1" applyAlignment="1">
      <alignment horizontal="left" vertical="center" indent="1"/>
    </xf>
    <xf numFmtId="0" fontId="20" fillId="2" borderId="4" xfId="0" applyFont="1" applyFill="1" applyBorder="1" applyAlignment="1">
      <alignment horizontal="left" vertical="center" indent="1"/>
    </xf>
    <xf numFmtId="3" fontId="4" fillId="4" borderId="25" xfId="0" applyNumberFormat="1" applyFont="1" applyFill="1" applyBorder="1" applyAlignment="1">
      <alignment horizontal="center"/>
    </xf>
    <xf numFmtId="0" fontId="14" fillId="2" borderId="4" xfId="0" applyFont="1" applyFill="1" applyBorder="1" applyAlignment="1">
      <alignment horizontal="left" indent="1"/>
    </xf>
    <xf numFmtId="0" fontId="14" fillId="2" borderId="40" xfId="0" applyFont="1" applyFill="1" applyBorder="1" applyAlignment="1">
      <alignment horizontal="center"/>
    </xf>
    <xf numFmtId="0" fontId="0" fillId="4" borderId="58" xfId="0" applyFill="1" applyBorder="1" applyAlignment="1">
      <alignment horizontal="left" indent="1"/>
    </xf>
    <xf numFmtId="0" fontId="0" fillId="4" borderId="59" xfId="0" applyFill="1" applyBorder="1" applyAlignment="1">
      <alignment horizontal="left" indent="1"/>
    </xf>
    <xf numFmtId="0" fontId="0" fillId="4" borderId="60" xfId="0" applyFill="1" applyBorder="1" applyAlignment="1">
      <alignment horizontal="left" indent="1"/>
    </xf>
    <xf numFmtId="0" fontId="14" fillId="4" borderId="60" xfId="0" applyFont="1" applyFill="1" applyBorder="1" applyAlignment="1">
      <alignment horizontal="left" indent="1"/>
    </xf>
    <xf numFmtId="3" fontId="26" fillId="4" borderId="45" xfId="0" applyNumberFormat="1" applyFont="1" applyFill="1" applyBorder="1"/>
    <xf numFmtId="3" fontId="26" fillId="4" borderId="55" xfId="0" applyNumberFormat="1" applyFont="1" applyFill="1" applyBorder="1"/>
    <xf numFmtId="3" fontId="26" fillId="4" borderId="33" xfId="0" applyNumberFormat="1" applyFont="1" applyFill="1" applyBorder="1"/>
    <xf numFmtId="9" fontId="4" fillId="4" borderId="22" xfId="84" applyNumberFormat="1" applyFont="1" applyFill="1" applyBorder="1"/>
    <xf numFmtId="3" fontId="0" fillId="4" borderId="8" xfId="0" applyNumberFormat="1" applyFill="1" applyBorder="1"/>
    <xf numFmtId="3" fontId="0" fillId="4" borderId="12" xfId="0" applyNumberFormat="1" applyFill="1" applyBorder="1"/>
    <xf numFmtId="3" fontId="0" fillId="4" borderId="16" xfId="0" applyNumberFormat="1" applyFill="1" applyBorder="1"/>
    <xf numFmtId="170" fontId="0" fillId="0" borderId="0" xfId="84" applyNumberFormat="1" applyFont="1"/>
    <xf numFmtId="3" fontId="5" fillId="2" borderId="5" xfId="84" applyNumberFormat="1" applyFont="1" applyFill="1" applyBorder="1" applyAlignment="1">
      <alignment horizontal="center"/>
    </xf>
    <xf numFmtId="3" fontId="5" fillId="2" borderId="6" xfId="84" applyNumberFormat="1" applyFont="1" applyFill="1" applyBorder="1" applyAlignment="1">
      <alignment horizontal="center"/>
    </xf>
    <xf numFmtId="3" fontId="4" fillId="4" borderId="9" xfId="0" applyNumberFormat="1" applyFont="1" applyFill="1" applyBorder="1" applyAlignment="1">
      <alignment horizontal="center"/>
    </xf>
    <xf numFmtId="3" fontId="4" fillId="4" borderId="13" xfId="0" applyNumberFormat="1" applyFont="1" applyFill="1" applyBorder="1" applyAlignment="1">
      <alignment horizontal="center"/>
    </xf>
    <xf numFmtId="3" fontId="4" fillId="4" borderId="17" xfId="0" applyNumberFormat="1" applyFont="1" applyFill="1" applyBorder="1" applyAlignment="1">
      <alignment horizontal="center"/>
    </xf>
    <xf numFmtId="3" fontId="4" fillId="4" borderId="11" xfId="0" applyNumberFormat="1" applyFont="1" applyFill="1" applyBorder="1" applyAlignment="1">
      <alignment horizontal="center"/>
    </xf>
    <xf numFmtId="3" fontId="4" fillId="4" borderId="15" xfId="0" applyNumberFormat="1" applyFont="1" applyFill="1" applyBorder="1" applyAlignment="1">
      <alignment horizontal="center"/>
    </xf>
    <xf numFmtId="3" fontId="4" fillId="4" borderId="26" xfId="0" applyNumberFormat="1" applyFont="1" applyFill="1" applyBorder="1" applyAlignment="1">
      <alignment horizontal="center"/>
    </xf>
    <xf numFmtId="3" fontId="4" fillId="4" borderId="19" xfId="0" applyNumberFormat="1" applyFont="1" applyFill="1" applyBorder="1" applyAlignment="1">
      <alignment horizontal="center"/>
    </xf>
    <xf numFmtId="3" fontId="4" fillId="4" borderId="27" xfId="0" applyNumberFormat="1" applyFont="1" applyFill="1" applyBorder="1" applyAlignment="1">
      <alignment horizontal="center"/>
    </xf>
    <xf numFmtId="3" fontId="4" fillId="4" borderId="10" xfId="0" applyNumberFormat="1" applyFont="1" applyFill="1" applyBorder="1" applyAlignment="1">
      <alignment horizontal="center"/>
    </xf>
    <xf numFmtId="3" fontId="4" fillId="4" borderId="14" xfId="0" applyNumberFormat="1" applyFont="1" applyFill="1" applyBorder="1" applyAlignment="1">
      <alignment horizontal="center"/>
    </xf>
    <xf numFmtId="3" fontId="4" fillId="4" borderId="18" xfId="0" applyNumberFormat="1" applyFont="1" applyFill="1" applyBorder="1" applyAlignment="1">
      <alignment horizontal="center"/>
    </xf>
    <xf numFmtId="3" fontId="4" fillId="4" borderId="23" xfId="0" applyNumberFormat="1" applyFont="1" applyFill="1" applyBorder="1" applyAlignment="1">
      <alignment horizontal="center"/>
    </xf>
    <xf numFmtId="3" fontId="4" fillId="4" borderId="33" xfId="0" applyNumberFormat="1" applyFont="1" applyFill="1" applyBorder="1" applyAlignment="1">
      <alignment horizontal="center"/>
    </xf>
    <xf numFmtId="3" fontId="4" fillId="4" borderId="42" xfId="0" applyNumberFormat="1" applyFont="1" applyFill="1" applyBorder="1" applyAlignment="1">
      <alignment horizontal="center"/>
    </xf>
    <xf numFmtId="3" fontId="4" fillId="4" borderId="34" xfId="0" applyNumberFormat="1" applyFont="1" applyFill="1" applyBorder="1" applyAlignment="1">
      <alignment horizontal="center"/>
    </xf>
    <xf numFmtId="3" fontId="5" fillId="2" borderId="7" xfId="0" applyNumberFormat="1" applyFont="1" applyFill="1" applyBorder="1" applyAlignment="1">
      <alignment horizontal="center"/>
    </xf>
    <xf numFmtId="3" fontId="0" fillId="0" borderId="0" xfId="0" applyNumberFormat="1"/>
    <xf numFmtId="10" fontId="0" fillId="0" borderId="0" xfId="0" applyNumberFormat="1"/>
    <xf numFmtId="4" fontId="0" fillId="0" borderId="0" xfId="0" applyNumberFormat="1" applyAlignment="1">
      <alignment horizontal="center"/>
    </xf>
    <xf numFmtId="3" fontId="4" fillId="4" borderId="8" xfId="0" applyNumberFormat="1" applyFont="1" applyFill="1" applyBorder="1" applyAlignment="1">
      <alignment horizontal="center"/>
    </xf>
    <xf numFmtId="3" fontId="4" fillId="4" borderId="16" xfId="0" applyNumberFormat="1" applyFont="1" applyFill="1" applyBorder="1" applyAlignment="1">
      <alignment horizontal="center"/>
    </xf>
    <xf numFmtId="3" fontId="0" fillId="0" borderId="0" xfId="0" applyNumberFormat="1" applyAlignment="1">
      <alignment horizontal="right"/>
    </xf>
    <xf numFmtId="0" fontId="0" fillId="0" borderId="0" xfId="0" applyAlignment="1">
      <alignment horizontal="right"/>
    </xf>
    <xf numFmtId="170" fontId="0" fillId="0" borderId="0" xfId="84" applyNumberFormat="1" applyFont="1" applyAlignment="1">
      <alignment horizontal="right"/>
    </xf>
    <xf numFmtId="3" fontId="0" fillId="4" borderId="8" xfId="0" applyNumberFormat="1" applyFill="1" applyBorder="1" applyAlignment="1">
      <alignment horizontal="right"/>
    </xf>
    <xf numFmtId="3" fontId="0" fillId="4" borderId="12" xfId="0" applyNumberFormat="1" applyFill="1" applyBorder="1" applyAlignment="1">
      <alignment horizontal="right"/>
    </xf>
    <xf numFmtId="3" fontId="0" fillId="4" borderId="16" xfId="0" applyNumberFormat="1" applyFill="1" applyBorder="1" applyAlignment="1">
      <alignment horizontal="right"/>
    </xf>
    <xf numFmtId="3" fontId="0" fillId="2" borderId="8" xfId="0" applyNumberFormat="1" applyFill="1" applyBorder="1" applyAlignment="1">
      <alignment horizontal="right"/>
    </xf>
    <xf numFmtId="3" fontId="0" fillId="2" borderId="12" xfId="0" applyNumberFormat="1" applyFill="1" applyBorder="1" applyAlignment="1">
      <alignment horizontal="right"/>
    </xf>
    <xf numFmtId="3" fontId="0" fillId="2" borderId="16" xfId="0" applyNumberFormat="1" applyFill="1" applyBorder="1" applyAlignment="1">
      <alignment horizontal="right"/>
    </xf>
    <xf numFmtId="3" fontId="6" fillId="4" borderId="9" xfId="0" applyNumberFormat="1" applyFont="1" applyFill="1" applyBorder="1" applyAlignment="1">
      <alignment horizontal="center"/>
    </xf>
    <xf numFmtId="3" fontId="6" fillId="4" borderId="29" xfId="0" applyNumberFormat="1" applyFont="1" applyFill="1" applyBorder="1" applyAlignment="1">
      <alignment horizontal="center"/>
    </xf>
    <xf numFmtId="3" fontId="6" fillId="4" borderId="13" xfId="0" applyNumberFormat="1" applyFont="1" applyFill="1" applyBorder="1" applyAlignment="1">
      <alignment horizontal="center"/>
    </xf>
    <xf numFmtId="3" fontId="6" fillId="4" borderId="30" xfId="0" applyNumberFormat="1" applyFont="1" applyFill="1" applyBorder="1" applyAlignment="1">
      <alignment horizontal="center"/>
    </xf>
    <xf numFmtId="9" fontId="6" fillId="4" borderId="13" xfId="84" applyFont="1" applyFill="1" applyBorder="1" applyAlignment="1">
      <alignment horizontal="center"/>
    </xf>
    <xf numFmtId="9" fontId="6" fillId="4" borderId="14" xfId="84" applyFont="1" applyFill="1" applyBorder="1" applyAlignment="1">
      <alignment horizontal="center"/>
    </xf>
    <xf numFmtId="9" fontId="6" fillId="4" borderId="30" xfId="84" applyFont="1" applyFill="1" applyBorder="1" applyAlignment="1">
      <alignment horizontal="center"/>
    </xf>
    <xf numFmtId="3" fontId="6" fillId="4" borderId="17" xfId="0" applyNumberFormat="1" applyFont="1" applyFill="1" applyBorder="1" applyAlignment="1">
      <alignment horizontal="center"/>
    </xf>
    <xf numFmtId="3" fontId="6" fillId="4" borderId="31" xfId="0" applyNumberFormat="1" applyFont="1" applyFill="1" applyBorder="1" applyAlignment="1">
      <alignment horizontal="center"/>
    </xf>
    <xf numFmtId="0" fontId="14" fillId="0" borderId="0" xfId="0" applyFont="1"/>
    <xf numFmtId="0" fontId="0" fillId="4" borderId="71" xfId="0" applyFill="1" applyBorder="1"/>
    <xf numFmtId="172" fontId="0" fillId="4" borderId="54" xfId="0" applyNumberFormat="1" applyFont="1" applyFill="1" applyBorder="1"/>
    <xf numFmtId="0" fontId="0" fillId="4" borderId="58" xfId="0" applyFill="1" applyBorder="1"/>
    <xf numFmtId="172" fontId="0" fillId="4" borderId="8" xfId="0" applyNumberFormat="1" applyFont="1" applyFill="1" applyBorder="1"/>
    <xf numFmtId="0" fontId="0" fillId="4" borderId="59" xfId="0" applyFill="1" applyBorder="1"/>
    <xf numFmtId="172" fontId="0" fillId="4" borderId="12" xfId="0" applyNumberFormat="1" applyFont="1" applyFill="1" applyBorder="1"/>
    <xf numFmtId="0" fontId="0" fillId="4" borderId="60" xfId="0" applyFill="1" applyBorder="1"/>
    <xf numFmtId="172" fontId="0" fillId="4" borderId="16" xfId="0" applyNumberFormat="1" applyFont="1" applyFill="1" applyBorder="1"/>
    <xf numFmtId="2" fontId="0" fillId="4" borderId="55" xfId="0" applyNumberFormat="1" applyFill="1" applyBorder="1" applyAlignment="1">
      <alignment horizontal="center"/>
    </xf>
    <xf numFmtId="2" fontId="0" fillId="4" borderId="57" xfId="0" applyNumberFormat="1" applyFont="1" applyFill="1" applyBorder="1" applyAlignment="1">
      <alignment horizontal="center"/>
    </xf>
    <xf numFmtId="2" fontId="0" fillId="4" borderId="65" xfId="0" applyNumberFormat="1" applyFont="1" applyFill="1" applyBorder="1" applyAlignment="1">
      <alignment horizontal="center"/>
    </xf>
    <xf numFmtId="2" fontId="0" fillId="4" borderId="36" xfId="0" applyNumberFormat="1" applyFill="1" applyBorder="1" applyAlignment="1">
      <alignment horizontal="center"/>
    </xf>
    <xf numFmtId="2" fontId="0" fillId="4" borderId="37" xfId="0" applyNumberFormat="1" applyFont="1" applyFill="1" applyBorder="1" applyAlignment="1">
      <alignment horizontal="center"/>
    </xf>
    <xf numFmtId="2" fontId="0" fillId="4" borderId="38" xfId="0" applyNumberFormat="1" applyFont="1" applyFill="1" applyBorder="1" applyAlignment="1">
      <alignment horizontal="center"/>
    </xf>
    <xf numFmtId="0" fontId="14" fillId="4" borderId="5" xfId="0" applyFont="1" applyFill="1" applyBorder="1" applyAlignment="1">
      <alignment horizontal="center"/>
    </xf>
    <xf numFmtId="0" fontId="14" fillId="4" borderId="6" xfId="0" applyFont="1" applyFill="1" applyBorder="1" applyAlignment="1">
      <alignment horizontal="center"/>
    </xf>
    <xf numFmtId="0" fontId="14" fillId="4" borderId="7" xfId="0" applyFont="1" applyFill="1" applyBorder="1" applyAlignment="1">
      <alignment horizontal="center"/>
    </xf>
    <xf numFmtId="172" fontId="0" fillId="4" borderId="70" xfId="0" applyNumberFormat="1" applyFont="1" applyFill="1" applyBorder="1"/>
    <xf numFmtId="172" fontId="0" fillId="4" borderId="72" xfId="0" applyNumberFormat="1" applyFont="1" applyFill="1" applyBorder="1"/>
    <xf numFmtId="172" fontId="0" fillId="4" borderId="39" xfId="0" applyNumberFormat="1" applyFont="1" applyFill="1" applyBorder="1"/>
    <xf numFmtId="3" fontId="4" fillId="4" borderId="13" xfId="0" applyNumberFormat="1" applyFont="1" applyFill="1" applyBorder="1" applyAlignment="1">
      <alignment horizontal="right"/>
    </xf>
    <xf numFmtId="3" fontId="4" fillId="4" borderId="14" xfId="0" applyNumberFormat="1" applyFont="1" applyFill="1" applyBorder="1" applyAlignment="1">
      <alignment horizontal="right"/>
    </xf>
    <xf numFmtId="9" fontId="4" fillId="4" borderId="14" xfId="84" applyFont="1" applyFill="1" applyBorder="1" applyAlignment="1">
      <alignment horizontal="right"/>
    </xf>
    <xf numFmtId="3" fontId="4" fillId="4" borderId="15" xfId="0" applyNumberFormat="1" applyFont="1" applyFill="1" applyBorder="1" applyAlignment="1">
      <alignment horizontal="right"/>
    </xf>
    <xf numFmtId="3" fontId="4" fillId="4" borderId="33" xfId="0" applyNumberFormat="1" applyFont="1" applyFill="1" applyBorder="1" applyAlignment="1">
      <alignment horizontal="right"/>
    </xf>
    <xf numFmtId="3" fontId="4" fillId="4" borderId="42" xfId="0" applyNumberFormat="1" applyFont="1" applyFill="1" applyBorder="1" applyAlignment="1">
      <alignment horizontal="right"/>
    </xf>
    <xf numFmtId="3" fontId="4" fillId="4" borderId="34" xfId="0" applyNumberFormat="1" applyFont="1" applyFill="1" applyBorder="1" applyAlignment="1">
      <alignment horizontal="right"/>
    </xf>
    <xf numFmtId="3" fontId="4" fillId="2" borderId="66" xfId="0" applyNumberFormat="1" applyFont="1" applyFill="1" applyBorder="1" applyAlignment="1">
      <alignment horizontal="right"/>
    </xf>
    <xf numFmtId="3" fontId="4" fillId="2" borderId="67" xfId="0" applyNumberFormat="1" applyFont="1" applyFill="1" applyBorder="1" applyAlignment="1">
      <alignment horizontal="right"/>
    </xf>
    <xf numFmtId="3" fontId="4" fillId="2" borderId="68" xfId="0" applyNumberFormat="1" applyFont="1" applyFill="1" applyBorder="1" applyAlignment="1">
      <alignment horizontal="right"/>
    </xf>
    <xf numFmtId="3" fontId="4" fillId="4" borderId="55" xfId="0" applyNumberFormat="1" applyFont="1" applyFill="1" applyBorder="1" applyAlignment="1">
      <alignment horizontal="right"/>
    </xf>
    <xf numFmtId="3" fontId="4" fillId="4" borderId="57" xfId="0" applyNumberFormat="1" applyFont="1" applyFill="1" applyBorder="1" applyAlignment="1">
      <alignment horizontal="right"/>
    </xf>
    <xf numFmtId="3" fontId="4" fillId="4" borderId="65" xfId="0" applyNumberFormat="1" applyFont="1" applyFill="1" applyBorder="1" applyAlignment="1">
      <alignment horizontal="right"/>
    </xf>
    <xf numFmtId="170" fontId="6" fillId="4" borderId="13" xfId="84" applyNumberFormat="1" applyFont="1" applyFill="1" applyBorder="1" applyAlignment="1">
      <alignment horizontal="center"/>
    </xf>
    <xf numFmtId="3" fontId="6" fillId="4" borderId="27" xfId="0" applyNumberFormat="1" applyFont="1" applyFill="1" applyBorder="1"/>
    <xf numFmtId="0" fontId="0" fillId="0" borderId="0" xfId="0" applyFont="1" applyFill="1"/>
    <xf numFmtId="0" fontId="0" fillId="0" borderId="0" xfId="0" applyFont="1" applyFill="1" applyBorder="1"/>
    <xf numFmtId="172" fontId="0" fillId="0" borderId="0" xfId="0" applyNumberFormat="1" applyFont="1" applyFill="1" applyBorder="1"/>
    <xf numFmtId="170" fontId="0" fillId="0" borderId="0" xfId="84" applyNumberFormat="1" applyFont="1" applyFill="1"/>
    <xf numFmtId="0" fontId="5" fillId="0" borderId="0" xfId="0" applyFont="1" applyFill="1" applyAlignment="1">
      <alignment horizontal="center"/>
    </xf>
    <xf numFmtId="0" fontId="5" fillId="0" borderId="0" xfId="0" applyFont="1" applyFill="1"/>
    <xf numFmtId="0" fontId="27" fillId="0" borderId="0" xfId="0" applyFont="1" applyFill="1"/>
    <xf numFmtId="0" fontId="0" fillId="0" borderId="0" xfId="0" applyFill="1" applyAlignment="1">
      <alignment horizontal="center"/>
    </xf>
    <xf numFmtId="172" fontId="0" fillId="0" borderId="0" xfId="0" applyNumberFormat="1" applyFont="1" applyFill="1"/>
    <xf numFmtId="1" fontId="0" fillId="0" borderId="0" xfId="0" applyNumberFormat="1" applyFill="1"/>
    <xf numFmtId="0" fontId="2" fillId="0" borderId="0" xfId="0" applyFont="1" applyFill="1"/>
    <xf numFmtId="3" fontId="5" fillId="2" borderId="5" xfId="0" applyNumberFormat="1" applyFont="1" applyFill="1" applyBorder="1" applyAlignment="1">
      <alignment horizontal="right"/>
    </xf>
    <xf numFmtId="3" fontId="5" fillId="2" borderId="6" xfId="0" applyNumberFormat="1" applyFont="1" applyFill="1" applyBorder="1" applyAlignment="1">
      <alignment horizontal="right"/>
    </xf>
    <xf numFmtId="3" fontId="5" fillId="2" borderId="7" xfId="0" applyNumberFormat="1" applyFont="1" applyFill="1" applyBorder="1" applyAlignment="1">
      <alignment horizontal="right"/>
    </xf>
    <xf numFmtId="0" fontId="22" fillId="0" borderId="0" xfId="0" applyFont="1" applyFill="1"/>
    <xf numFmtId="0" fontId="21" fillId="0" borderId="0" xfId="0" applyFont="1" applyFill="1"/>
    <xf numFmtId="0" fontId="4" fillId="0" borderId="0" xfId="0" applyFont="1" applyFill="1"/>
    <xf numFmtId="0" fontId="5" fillId="0" borderId="0" xfId="0" applyFont="1" applyFill="1" applyBorder="1" applyAlignment="1">
      <alignment horizontal="left" indent="1"/>
    </xf>
    <xf numFmtId="0" fontId="5" fillId="0" borderId="0" xfId="0" applyFont="1" applyFill="1" applyAlignment="1">
      <alignment vertical="center" wrapText="1"/>
    </xf>
    <xf numFmtId="0" fontId="25" fillId="0" borderId="0" xfId="0" applyFont="1" applyFill="1"/>
    <xf numFmtId="0" fontId="4" fillId="0" borderId="0" xfId="0" applyFont="1" applyFill="1" applyBorder="1" applyAlignment="1">
      <alignment horizontal="left" indent="1"/>
    </xf>
    <xf numFmtId="0" fontId="3" fillId="0" borderId="0" xfId="0" applyFont="1" applyFill="1"/>
    <xf numFmtId="170" fontId="4" fillId="0" borderId="0" xfId="84" applyNumberFormat="1" applyFont="1" applyFill="1" applyBorder="1"/>
    <xf numFmtId="0" fontId="18" fillId="0" borderId="0" xfId="0" applyFont="1" applyFill="1"/>
    <xf numFmtId="0" fontId="18" fillId="0" borderId="0" xfId="0" applyFont="1" applyFill="1" applyBorder="1" applyAlignment="1"/>
    <xf numFmtId="0" fontId="6" fillId="0" borderId="0" xfId="0" applyFont="1" applyFill="1" applyBorder="1" applyAlignment="1">
      <alignment horizontal="left" indent="1"/>
    </xf>
    <xf numFmtId="3" fontId="0" fillId="0" borderId="0" xfId="0" applyNumberFormat="1" applyFill="1"/>
    <xf numFmtId="0" fontId="28" fillId="0" borderId="0" xfId="0" applyFont="1" applyFill="1"/>
    <xf numFmtId="0" fontId="16" fillId="0" borderId="0" xfId="0" applyFont="1" applyFill="1"/>
    <xf numFmtId="0" fontId="26" fillId="0" borderId="0" xfId="0" applyFont="1" applyFill="1"/>
    <xf numFmtId="0" fontId="17" fillId="0" borderId="0" xfId="0" applyFont="1" applyFill="1"/>
    <xf numFmtId="0" fontId="15" fillId="0" borderId="0" xfId="0" applyFont="1" applyFill="1"/>
    <xf numFmtId="0" fontId="5" fillId="0" borderId="0" xfId="0" applyFont="1" applyFill="1" applyBorder="1" applyAlignment="1"/>
    <xf numFmtId="0" fontId="22" fillId="0" borderId="0" xfId="0" applyFont="1" applyFill="1" applyBorder="1" applyAlignment="1"/>
    <xf numFmtId="0" fontId="4" fillId="0" borderId="0" xfId="0" applyFont="1" applyFill="1" applyBorder="1"/>
    <xf numFmtId="0" fontId="2" fillId="0" borderId="0" xfId="0" applyFont="1" applyFill="1" applyBorder="1"/>
    <xf numFmtId="0" fontId="23" fillId="0" borderId="0" xfId="0" applyFont="1" applyFill="1" applyBorder="1"/>
    <xf numFmtId="0" fontId="14" fillId="2" borderId="1" xfId="0" applyFont="1" applyFill="1" applyBorder="1"/>
    <xf numFmtId="173" fontId="5" fillId="2" borderId="4" xfId="86" applyNumberFormat="1" applyFont="1" applyFill="1" applyBorder="1"/>
    <xf numFmtId="0" fontId="5" fillId="0" borderId="0" xfId="0" applyFont="1" applyFill="1" applyBorder="1"/>
    <xf numFmtId="0" fontId="18" fillId="2" borderId="5"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4" fillId="4" borderId="8" xfId="0" applyFont="1" applyFill="1" applyBorder="1" applyAlignment="1">
      <alignment horizontal="left" vertical="center" wrapText="1" indent="1"/>
    </xf>
    <xf numFmtId="9" fontId="4" fillId="4" borderId="25" xfId="0" applyNumberFormat="1" applyFont="1" applyFill="1" applyBorder="1" applyAlignment="1">
      <alignment horizontal="center" vertical="center" wrapText="1"/>
    </xf>
    <xf numFmtId="0" fontId="4" fillId="4" borderId="12" xfId="0" applyFont="1" applyFill="1" applyBorder="1" applyAlignment="1">
      <alignment horizontal="left" vertical="center" wrapText="1" indent="1"/>
    </xf>
    <xf numFmtId="9" fontId="4" fillId="4" borderId="26" xfId="0" applyNumberFormat="1" applyFont="1" applyFill="1" applyBorder="1" applyAlignment="1">
      <alignment horizontal="center" vertical="center" wrapText="1"/>
    </xf>
    <xf numFmtId="0" fontId="4" fillId="4" borderId="16" xfId="0" applyFont="1" applyFill="1" applyBorder="1" applyAlignment="1">
      <alignment horizontal="left" vertical="center" wrapText="1" indent="1"/>
    </xf>
    <xf numFmtId="9" fontId="4" fillId="4" borderId="27"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3" fontId="6" fillId="4" borderId="0" xfId="0" applyNumberFormat="1" applyFont="1" applyFill="1" applyAlignment="1"/>
    <xf numFmtId="3" fontId="4" fillId="4" borderId="10" xfId="0" applyNumberFormat="1" applyFont="1" applyFill="1" applyBorder="1" applyAlignment="1"/>
    <xf numFmtId="3" fontId="4" fillId="4" borderId="11" xfId="0" applyNumberFormat="1" applyFont="1" applyFill="1" applyBorder="1" applyAlignment="1"/>
    <xf numFmtId="3" fontId="4" fillId="4" borderId="13" xfId="0" applyNumberFormat="1" applyFont="1" applyFill="1" applyBorder="1" applyAlignment="1"/>
    <xf numFmtId="3" fontId="4" fillId="4" borderId="14" xfId="0" applyNumberFormat="1" applyFont="1" applyFill="1" applyBorder="1" applyAlignment="1"/>
    <xf numFmtId="3" fontId="4" fillId="4" borderId="15" xfId="0" applyNumberFormat="1" applyFont="1" applyFill="1" applyBorder="1" applyAlignment="1"/>
    <xf numFmtId="9" fontId="4" fillId="4" borderId="13" xfId="84" applyNumberFormat="1" applyFont="1" applyFill="1" applyBorder="1" applyAlignment="1"/>
    <xf numFmtId="9" fontId="4" fillId="4" borderId="14" xfId="84" applyNumberFormat="1" applyFont="1" applyFill="1" applyBorder="1" applyAlignment="1"/>
    <xf numFmtId="9" fontId="4" fillId="4" borderId="15" xfId="84" applyNumberFormat="1" applyFont="1" applyFill="1" applyBorder="1" applyAlignment="1"/>
    <xf numFmtId="3" fontId="4" fillId="4" borderId="17" xfId="0" applyNumberFormat="1" applyFont="1" applyFill="1" applyBorder="1" applyAlignment="1"/>
    <xf numFmtId="3" fontId="4" fillId="4" borderId="18" xfId="0" applyNumberFormat="1" applyFont="1" applyFill="1" applyBorder="1" applyAlignment="1"/>
    <xf numFmtId="3" fontId="4" fillId="4" borderId="19" xfId="0" applyNumberFormat="1" applyFont="1" applyFill="1" applyBorder="1" applyAlignment="1"/>
    <xf numFmtId="3" fontId="26" fillId="4" borderId="13" xfId="0" applyNumberFormat="1" applyFont="1" applyFill="1" applyBorder="1"/>
    <xf numFmtId="3" fontId="4" fillId="4" borderId="25" xfId="0" applyNumberFormat="1" applyFont="1" applyFill="1" applyBorder="1" applyAlignment="1">
      <alignment horizontal="right"/>
    </xf>
    <xf numFmtId="3" fontId="4" fillId="4" borderId="27" xfId="0" applyNumberFormat="1" applyFont="1" applyFill="1" applyBorder="1" applyAlignment="1">
      <alignment horizontal="right"/>
    </xf>
    <xf numFmtId="3" fontId="4" fillId="4" borderId="48" xfId="0" applyNumberFormat="1" applyFont="1" applyFill="1" applyBorder="1" applyAlignment="1">
      <alignment horizontal="right"/>
    </xf>
    <xf numFmtId="170" fontId="4" fillId="0" borderId="0" xfId="84" applyNumberFormat="1" applyFont="1"/>
    <xf numFmtId="0" fontId="0" fillId="0" borderId="0" xfId="0" applyFill="1" applyBorder="1"/>
    <xf numFmtId="0" fontId="0" fillId="0" borderId="52" xfId="0" applyBorder="1"/>
    <xf numFmtId="0" fontId="4" fillId="4" borderId="44" xfId="0" applyFont="1" applyFill="1" applyBorder="1" applyAlignment="1">
      <alignment horizontal="left" vertical="center" indent="1"/>
    </xf>
    <xf numFmtId="0" fontId="0" fillId="0" borderId="53" xfId="0" applyBorder="1"/>
    <xf numFmtId="0" fontId="4" fillId="4" borderId="12" xfId="0" applyFont="1" applyFill="1" applyBorder="1" applyAlignment="1">
      <alignment horizontal="left" vertical="center" indent="1"/>
    </xf>
    <xf numFmtId="0" fontId="4" fillId="4" borderId="32" xfId="0" applyFont="1" applyFill="1" applyBorder="1" applyAlignment="1">
      <alignment horizontal="left" vertical="center" indent="1"/>
    </xf>
    <xf numFmtId="173" fontId="6" fillId="0" borderId="12" xfId="86" applyNumberFormat="1" applyFont="1" applyBorder="1" applyAlignment="1">
      <alignment horizontal="right"/>
    </xf>
    <xf numFmtId="173" fontId="18" fillId="0" borderId="16" xfId="86" applyNumberFormat="1" applyFont="1" applyBorder="1" applyAlignment="1">
      <alignment horizontal="right"/>
    </xf>
    <xf numFmtId="0" fontId="5" fillId="4" borderId="44"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32"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62" fillId="0" borderId="0" xfId="0" applyFont="1" applyFill="1"/>
    <xf numFmtId="0" fontId="18" fillId="4" borderId="16" xfId="0" applyFont="1" applyFill="1" applyBorder="1" applyAlignment="1">
      <alignment horizontal="left" indent="1"/>
    </xf>
    <xf numFmtId="0" fontId="5" fillId="0" borderId="4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0" xfId="0" applyFont="1" applyFill="1" applyBorder="1" applyAlignment="1">
      <alignment horizontal="center" vertical="center" wrapText="1"/>
    </xf>
    <xf numFmtId="3" fontId="4" fillId="4" borderId="44" xfId="86" applyNumberFormat="1" applyFont="1" applyFill="1" applyBorder="1" applyAlignment="1">
      <alignment horizontal="center" vertical="center" wrapText="1"/>
    </xf>
    <xf numFmtId="3" fontId="4" fillId="4" borderId="12" xfId="86" applyNumberFormat="1" applyFont="1" applyFill="1" applyBorder="1" applyAlignment="1">
      <alignment horizontal="center" vertical="center" wrapText="1"/>
    </xf>
    <xf numFmtId="3" fontId="4" fillId="4" borderId="32" xfId="0" applyNumberFormat="1" applyFont="1" applyFill="1" applyBorder="1" applyAlignment="1">
      <alignment horizontal="center" vertical="center" wrapText="1"/>
    </xf>
    <xf numFmtId="3" fontId="4" fillId="4" borderId="16" xfId="0" applyNumberFormat="1" applyFont="1" applyFill="1" applyBorder="1" applyAlignment="1">
      <alignment horizontal="center" vertical="center" wrapText="1"/>
    </xf>
    <xf numFmtId="0" fontId="16" fillId="4" borderId="0" xfId="0" applyFont="1" applyFill="1" applyBorder="1" applyAlignment="1">
      <alignment horizontal="left" indent="1"/>
    </xf>
    <xf numFmtId="0" fontId="5" fillId="4" borderId="0" xfId="0" applyFont="1" applyFill="1" applyBorder="1" applyAlignment="1">
      <alignment horizontal="center" vertical="center" wrapText="1"/>
    </xf>
    <xf numFmtId="3" fontId="0" fillId="0" borderId="26" xfId="0" applyNumberFormat="1" applyBorder="1"/>
    <xf numFmtId="0" fontId="0" fillId="0" borderId="16" xfId="0" applyBorder="1"/>
    <xf numFmtId="3" fontId="0" fillId="0" borderId="27" xfId="0" applyNumberFormat="1" applyBorder="1"/>
    <xf numFmtId="173" fontId="4" fillId="2" borderId="25" xfId="86" applyNumberFormat="1" applyFont="1" applyFill="1" applyBorder="1" applyAlignment="1">
      <alignment horizontal="center" vertical="center" wrapText="1"/>
    </xf>
    <xf numFmtId="173" fontId="5" fillId="0" borderId="0" xfId="86" applyNumberFormat="1" applyFont="1" applyFill="1" applyBorder="1" applyAlignment="1">
      <alignment horizontal="center" vertical="center" wrapText="1"/>
    </xf>
    <xf numFmtId="173" fontId="4" fillId="2" borderId="26" xfId="86" applyNumberFormat="1" applyFont="1" applyFill="1" applyBorder="1" applyAlignment="1">
      <alignment horizontal="center" vertical="center" wrapText="1"/>
    </xf>
    <xf numFmtId="173" fontId="5" fillId="2" borderId="27" xfId="86" applyNumberFormat="1" applyFont="1" applyFill="1" applyBorder="1" applyAlignment="1">
      <alignment horizontal="center" vertical="center" wrapText="1"/>
    </xf>
    <xf numFmtId="0" fontId="6" fillId="0" borderId="0" xfId="0" applyFont="1" applyAlignment="1">
      <alignment horizontal="right"/>
    </xf>
    <xf numFmtId="0" fontId="6" fillId="0" borderId="0" xfId="0" applyFont="1"/>
    <xf numFmtId="0" fontId="5" fillId="0" borderId="0" xfId="0" applyFont="1" applyFill="1" applyBorder="1" applyAlignment="1">
      <alignment horizontal="right"/>
    </xf>
    <xf numFmtId="0" fontId="64" fillId="0" borderId="0" xfId="0" applyFont="1" applyFill="1"/>
    <xf numFmtId="0" fontId="5" fillId="0" borderId="0" xfId="0" applyFont="1" applyFill="1" applyAlignment="1">
      <alignment horizontal="justify" vertical="center"/>
    </xf>
    <xf numFmtId="0" fontId="4" fillId="0" borderId="0" xfId="0" applyFont="1" applyFill="1" applyAlignment="1">
      <alignment horizontal="center"/>
    </xf>
    <xf numFmtId="173" fontId="18" fillId="0" borderId="0" xfId="86" applyNumberFormat="1" applyFont="1" applyFill="1"/>
    <xf numFmtId="0" fontId="5" fillId="0" borderId="0" xfId="0" applyFont="1" applyFill="1" applyAlignment="1">
      <alignment horizontal="right" vertical="center"/>
    </xf>
    <xf numFmtId="0" fontId="5" fillId="0" borderId="0" xfId="0" applyFont="1" applyAlignment="1">
      <alignment horizontal="right" vertical="center"/>
    </xf>
    <xf numFmtId="0" fontId="4" fillId="0" borderId="0" xfId="0" applyFont="1" applyAlignment="1">
      <alignment horizontal="justify" vertical="center"/>
    </xf>
    <xf numFmtId="0" fontId="4" fillId="0" borderId="0" xfId="0" applyFont="1"/>
    <xf numFmtId="0" fontId="5" fillId="0" borderId="0" xfId="0" applyFont="1"/>
    <xf numFmtId="173" fontId="5" fillId="0" borderId="0" xfId="0" applyNumberFormat="1" applyFont="1"/>
    <xf numFmtId="3" fontId="16" fillId="0" borderId="13" xfId="0" applyNumberFormat="1" applyFont="1" applyFill="1" applyBorder="1" applyAlignment="1"/>
    <xf numFmtId="3" fontId="16" fillId="0" borderId="14" xfId="0" applyNumberFormat="1" applyFont="1" applyFill="1" applyBorder="1" applyAlignment="1"/>
    <xf numFmtId="3" fontId="16" fillId="0" borderId="15" xfId="0" applyNumberFormat="1" applyFont="1" applyFill="1" applyBorder="1" applyAlignment="1"/>
    <xf numFmtId="3" fontId="65" fillId="4" borderId="8" xfId="0" applyNumberFormat="1" applyFont="1" applyFill="1" applyBorder="1" applyAlignment="1">
      <alignment horizontal="right"/>
    </xf>
    <xf numFmtId="3" fontId="65" fillId="4" borderId="12" xfId="0" applyNumberFormat="1" applyFont="1" applyFill="1" applyBorder="1" applyAlignment="1">
      <alignment horizontal="right"/>
    </xf>
    <xf numFmtId="3" fontId="65" fillId="4" borderId="16" xfId="0" applyNumberFormat="1" applyFont="1" applyFill="1" applyBorder="1" applyAlignment="1">
      <alignment horizontal="right"/>
    </xf>
    <xf numFmtId="0" fontId="65" fillId="0" borderId="0" xfId="0" applyFont="1" applyFill="1"/>
    <xf numFmtId="0" fontId="6" fillId="4" borderId="8" xfId="0" applyFont="1" applyFill="1" applyBorder="1" applyAlignment="1">
      <alignment horizontal="left" indent="1"/>
    </xf>
    <xf numFmtId="3" fontId="6" fillId="4" borderId="10" xfId="0" applyNumberFormat="1" applyFont="1" applyFill="1" applyBorder="1"/>
    <xf numFmtId="3" fontId="6" fillId="4" borderId="11" xfId="0" applyNumberFormat="1" applyFont="1" applyFill="1" applyBorder="1" applyAlignment="1">
      <alignment horizontal="center"/>
    </xf>
    <xf numFmtId="3" fontId="6" fillId="4" borderId="25" xfId="0" applyNumberFormat="1" applyFont="1" applyFill="1" applyBorder="1" applyAlignment="1">
      <alignment horizontal="center"/>
    </xf>
    <xf numFmtId="3" fontId="6" fillId="4" borderId="18" xfId="0" applyNumberFormat="1" applyFont="1" applyFill="1" applyBorder="1"/>
    <xf numFmtId="3" fontId="6" fillId="4" borderId="19" xfId="0" applyNumberFormat="1" applyFont="1" applyFill="1" applyBorder="1" applyAlignment="1">
      <alignment horizontal="center"/>
    </xf>
    <xf numFmtId="3" fontId="6" fillId="4" borderId="27" xfId="0" applyNumberFormat="1" applyFont="1" applyFill="1" applyBorder="1" applyAlignment="1">
      <alignment horizontal="center"/>
    </xf>
    <xf numFmtId="3" fontId="6" fillId="0" borderId="0" xfId="0" applyNumberFormat="1" applyFont="1" applyFill="1" applyBorder="1"/>
    <xf numFmtId="0" fontId="65" fillId="0" borderId="0" xfId="0" applyFont="1"/>
    <xf numFmtId="0" fontId="18" fillId="2" borderId="7" xfId="0" applyFont="1" applyFill="1" applyBorder="1" applyAlignment="1">
      <alignment horizontal="center" vertical="center"/>
    </xf>
    <xf numFmtId="3" fontId="65" fillId="0" borderId="11" xfId="0" applyNumberFormat="1" applyFont="1" applyBorder="1"/>
    <xf numFmtId="0" fontId="6" fillId="4" borderId="12" xfId="0" applyFont="1" applyFill="1" applyBorder="1" applyAlignment="1">
      <alignment horizontal="left" indent="1"/>
    </xf>
    <xf numFmtId="3" fontId="65" fillId="0" borderId="15" xfId="0" applyNumberFormat="1" applyFont="1" applyBorder="1"/>
    <xf numFmtId="0" fontId="6" fillId="4" borderId="35" xfId="0" applyFont="1" applyFill="1" applyBorder="1" applyAlignment="1">
      <alignment horizontal="left" indent="1"/>
    </xf>
    <xf numFmtId="170" fontId="65" fillId="0" borderId="39" xfId="84" applyNumberFormat="1" applyFont="1" applyBorder="1"/>
    <xf numFmtId="0" fontId="65" fillId="0" borderId="0" xfId="0" applyFont="1" applyBorder="1"/>
    <xf numFmtId="0" fontId="18" fillId="2" borderId="4" xfId="0" applyFont="1" applyFill="1" applyBorder="1" applyAlignment="1">
      <alignment horizontal="left" vertical="center" wrapText="1" indent="1"/>
    </xf>
    <xf numFmtId="3" fontId="65" fillId="2" borderId="4" xfId="0" applyNumberFormat="1" applyFont="1" applyFill="1" applyBorder="1" applyAlignment="1">
      <alignment vertical="center"/>
    </xf>
    <xf numFmtId="0" fontId="18" fillId="2" borderId="4"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20" xfId="0" applyFont="1" applyFill="1" applyBorder="1" applyAlignment="1">
      <alignment horizontal="center" vertical="center"/>
    </xf>
    <xf numFmtId="3" fontId="65" fillId="0" borderId="8" xfId="0" applyNumberFormat="1" applyFont="1" applyBorder="1"/>
    <xf numFmtId="3" fontId="65" fillId="0" borderId="12" xfId="0" applyNumberFormat="1" applyFont="1" applyBorder="1"/>
    <xf numFmtId="0" fontId="65" fillId="0" borderId="16" xfId="0" applyFont="1" applyBorder="1"/>
    <xf numFmtId="0" fontId="65" fillId="0" borderId="31" xfId="0" applyFont="1" applyBorder="1"/>
    <xf numFmtId="0" fontId="65" fillId="0" borderId="23" xfId="0" applyFont="1" applyBorder="1"/>
    <xf numFmtId="3" fontId="65" fillId="0" borderId="16" xfId="0" applyNumberFormat="1" applyFont="1" applyBorder="1"/>
    <xf numFmtId="0" fontId="6" fillId="0" borderId="0" xfId="0" applyFont="1" applyFill="1"/>
    <xf numFmtId="0" fontId="18" fillId="2" borderId="1" xfId="0" applyFont="1" applyFill="1" applyBorder="1" applyAlignment="1">
      <alignment horizontal="centerContinuous"/>
    </xf>
    <xf numFmtId="0" fontId="18" fillId="2" borderId="2" xfId="0" applyFont="1" applyFill="1" applyBorder="1" applyAlignment="1">
      <alignment horizontal="centerContinuous"/>
    </xf>
    <xf numFmtId="0" fontId="18" fillId="2" borderId="3" xfId="0" applyFont="1" applyFill="1" applyBorder="1" applyAlignment="1">
      <alignment horizontal="centerContinuous"/>
    </xf>
    <xf numFmtId="0" fontId="66" fillId="0" borderId="0" xfId="0" applyFont="1" applyFill="1"/>
    <xf numFmtId="3" fontId="6" fillId="4" borderId="11" xfId="0" applyNumberFormat="1" applyFont="1" applyFill="1" applyBorder="1" applyAlignment="1">
      <alignment horizontal="right"/>
    </xf>
    <xf numFmtId="3" fontId="6" fillId="4" borderId="25" xfId="0" applyNumberFormat="1" applyFont="1" applyFill="1" applyBorder="1" applyAlignment="1">
      <alignment horizontal="right"/>
    </xf>
    <xf numFmtId="0" fontId="6" fillId="4" borderId="54" xfId="0" applyFont="1" applyFill="1" applyBorder="1" applyAlignment="1">
      <alignment horizontal="left" indent="1"/>
    </xf>
    <xf numFmtId="3" fontId="6" fillId="4" borderId="51" xfId="0" applyNumberFormat="1" applyFont="1" applyFill="1" applyBorder="1" applyAlignment="1">
      <alignment horizontal="right"/>
    </xf>
    <xf numFmtId="3" fontId="6" fillId="4" borderId="27" xfId="0" applyNumberFormat="1" applyFont="1" applyFill="1" applyBorder="1" applyAlignment="1">
      <alignment horizontal="right"/>
    </xf>
    <xf numFmtId="3" fontId="6" fillId="4" borderId="17" xfId="0" applyNumberFormat="1" applyFont="1" applyFill="1" applyBorder="1"/>
    <xf numFmtId="3" fontId="6" fillId="4" borderId="19" xfId="0" applyNumberFormat="1" applyFont="1" applyFill="1" applyBorder="1"/>
    <xf numFmtId="0" fontId="5" fillId="2" borderId="3"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8" xfId="0" applyFont="1" applyFill="1" applyBorder="1" applyAlignment="1">
      <alignment horizontal="center" vertical="center" wrapText="1"/>
    </xf>
    <xf numFmtId="3" fontId="4" fillId="0" borderId="29" xfId="0" applyNumberFormat="1" applyFont="1" applyFill="1" applyBorder="1"/>
    <xf numFmtId="3" fontId="4" fillId="0" borderId="11" xfId="0" applyNumberFormat="1" applyFont="1" applyFill="1" applyBorder="1"/>
    <xf numFmtId="3" fontId="4" fillId="0" borderId="30" xfId="0" applyNumberFormat="1" applyFont="1" applyFill="1" applyBorder="1"/>
    <xf numFmtId="170" fontId="4" fillId="0" borderId="14" xfId="84" applyNumberFormat="1" applyFont="1" applyFill="1" applyBorder="1" applyAlignment="1">
      <alignment horizontal="center"/>
    </xf>
    <xf numFmtId="3" fontId="4" fillId="0" borderId="15" xfId="0" applyNumberFormat="1" applyFont="1" applyFill="1" applyBorder="1"/>
    <xf numFmtId="3" fontId="4" fillId="0" borderId="31" xfId="0" applyNumberFormat="1" applyFont="1" applyFill="1" applyBorder="1"/>
    <xf numFmtId="170" fontId="4" fillId="0" borderId="18" xfId="84" applyNumberFormat="1" applyFont="1" applyFill="1" applyBorder="1" applyAlignment="1">
      <alignment horizontal="center"/>
    </xf>
    <xf numFmtId="3" fontId="4" fillId="0" borderId="19" xfId="0" applyNumberFormat="1" applyFont="1" applyFill="1" applyBorder="1"/>
    <xf numFmtId="0" fontId="2" fillId="0" borderId="0" xfId="0" applyFont="1" applyFill="1" applyBorder="1" applyAlignment="1"/>
    <xf numFmtId="0" fontId="18" fillId="2" borderId="4" xfId="0" applyFont="1" applyFill="1" applyBorder="1" applyAlignment="1">
      <alignment horizontal="center" vertical="center" wrapText="1"/>
    </xf>
    <xf numFmtId="0" fontId="18" fillId="2" borderId="4" xfId="0" applyFont="1" applyFill="1" applyBorder="1" applyAlignment="1">
      <alignment wrapText="1"/>
    </xf>
    <xf numFmtId="0" fontId="67" fillId="0" borderId="0" xfId="0" applyFont="1" applyFill="1"/>
    <xf numFmtId="0" fontId="18" fillId="0" borderId="12" xfId="0" applyFont="1" applyFill="1" applyBorder="1" applyAlignment="1">
      <alignment horizontal="left" indent="1"/>
    </xf>
    <xf numFmtId="0" fontId="5" fillId="2" borderId="28" xfId="0" applyFont="1" applyFill="1" applyBorder="1" applyAlignment="1">
      <alignment horizontal="center"/>
    </xf>
    <xf numFmtId="0" fontId="5" fillId="2" borderId="6" xfId="0" applyFont="1" applyFill="1" applyBorder="1" applyAlignment="1">
      <alignment horizontal="center"/>
    </xf>
    <xf numFmtId="0" fontId="5" fillId="2" borderId="7" xfId="0" applyFont="1" applyFill="1" applyBorder="1" applyAlignment="1">
      <alignment horizontal="center"/>
    </xf>
    <xf numFmtId="0" fontId="68" fillId="0" borderId="0" xfId="0" applyFont="1" applyFill="1"/>
    <xf numFmtId="3" fontId="6" fillId="4" borderId="8" xfId="0" applyNumberFormat="1" applyFont="1" applyFill="1" applyBorder="1" applyAlignment="1">
      <alignment horizontal="center"/>
    </xf>
    <xf numFmtId="3" fontId="6" fillId="4" borderId="16" xfId="0" applyNumberFormat="1" applyFont="1" applyFill="1" applyBorder="1" applyAlignment="1">
      <alignment horizontal="center"/>
    </xf>
    <xf numFmtId="0" fontId="61" fillId="0" borderId="0" xfId="0" applyFont="1"/>
    <xf numFmtId="3" fontId="6" fillId="0" borderId="21" xfId="0" applyNumberFormat="1" applyFont="1" applyFill="1" applyBorder="1" applyAlignment="1">
      <alignment horizontal="right"/>
    </xf>
    <xf numFmtId="3" fontId="6" fillId="0" borderId="23" xfId="0" applyNumberFormat="1" applyFont="1" applyFill="1" applyBorder="1" applyAlignment="1">
      <alignment horizontal="center"/>
    </xf>
    <xf numFmtId="170" fontId="6" fillId="0" borderId="49" xfId="84" applyNumberFormat="1" applyFont="1" applyFill="1" applyBorder="1" applyAlignment="1">
      <alignment horizontal="center"/>
    </xf>
    <xf numFmtId="170" fontId="6" fillId="4" borderId="47" xfId="84" applyNumberFormat="1" applyFont="1" applyFill="1" applyBorder="1" applyAlignment="1">
      <alignment horizontal="center"/>
    </xf>
    <xf numFmtId="3" fontId="6" fillId="0" borderId="58" xfId="0" applyNumberFormat="1" applyFont="1" applyFill="1" applyBorder="1" applyAlignment="1">
      <alignment horizontal="right"/>
    </xf>
    <xf numFmtId="170" fontId="6" fillId="0" borderId="62" xfId="84" applyNumberFormat="1" applyFont="1" applyFill="1" applyBorder="1" applyAlignment="1">
      <alignment horizontal="center"/>
    </xf>
    <xf numFmtId="3" fontId="6" fillId="0" borderId="60" xfId="0" applyNumberFormat="1" applyFont="1" applyFill="1" applyBorder="1" applyAlignment="1">
      <alignment horizontal="center"/>
    </xf>
    <xf numFmtId="3" fontId="65" fillId="2" borderId="35" xfId="0" applyNumberFormat="1" applyFont="1" applyFill="1" applyBorder="1" applyAlignment="1">
      <alignment vertical="center"/>
    </xf>
    <xf numFmtId="3" fontId="6" fillId="4" borderId="9" xfId="0" applyNumberFormat="1" applyFont="1" applyFill="1" applyBorder="1"/>
    <xf numFmtId="3" fontId="6" fillId="4" borderId="10" xfId="0" applyNumberFormat="1" applyFont="1" applyFill="1" applyBorder="1" applyAlignment="1">
      <alignment horizontal="center"/>
    </xf>
    <xf numFmtId="3" fontId="6" fillId="4" borderId="18" xfId="0" applyNumberFormat="1" applyFont="1" applyFill="1" applyBorder="1" applyAlignment="1">
      <alignment horizontal="center"/>
    </xf>
    <xf numFmtId="0" fontId="18" fillId="2" borderId="6" xfId="0" applyFont="1" applyFill="1" applyBorder="1" applyAlignment="1">
      <alignment horizontal="left" vertical="center" wrapText="1"/>
    </xf>
    <xf numFmtId="3" fontId="6" fillId="4" borderId="14" xfId="0" applyNumberFormat="1" applyFont="1" applyFill="1" applyBorder="1" applyAlignment="1">
      <alignment horizontal="center"/>
    </xf>
    <xf numFmtId="3" fontId="6" fillId="4" borderId="42" xfId="0" applyNumberFormat="1" applyFont="1" applyFill="1" applyBorder="1" applyAlignment="1">
      <alignment horizontal="center"/>
    </xf>
    <xf numFmtId="3" fontId="18" fillId="2" borderId="6" xfId="84" applyNumberFormat="1" applyFont="1" applyFill="1" applyBorder="1" applyAlignment="1">
      <alignment horizontal="center"/>
    </xf>
    <xf numFmtId="3" fontId="6" fillId="4" borderId="15" xfId="0" applyNumberFormat="1" applyFont="1" applyFill="1" applyBorder="1" applyAlignment="1">
      <alignment horizontal="center"/>
    </xf>
    <xf numFmtId="3" fontId="6" fillId="4" borderId="26" xfId="0" applyNumberFormat="1" applyFont="1" applyFill="1" applyBorder="1" applyAlignment="1">
      <alignment horizontal="center"/>
    </xf>
    <xf numFmtId="3" fontId="6" fillId="4" borderId="36" xfId="0" applyNumberFormat="1" applyFont="1" applyFill="1" applyBorder="1" applyAlignment="1">
      <alignment horizontal="center"/>
    </xf>
    <xf numFmtId="3" fontId="6" fillId="4" borderId="37" xfId="0" applyNumberFormat="1" applyFont="1" applyFill="1" applyBorder="1" applyAlignment="1">
      <alignment horizontal="center"/>
    </xf>
    <xf numFmtId="3" fontId="6" fillId="4" borderId="38" xfId="0" applyNumberFormat="1" applyFont="1" applyFill="1" applyBorder="1" applyAlignment="1">
      <alignment horizontal="center"/>
    </xf>
    <xf numFmtId="3" fontId="6" fillId="4" borderId="39" xfId="0" applyNumberFormat="1" applyFont="1" applyFill="1" applyBorder="1" applyAlignment="1">
      <alignment horizontal="center"/>
    </xf>
    <xf numFmtId="0" fontId="66" fillId="4" borderId="0" xfId="0" applyFont="1" applyFill="1"/>
    <xf numFmtId="3" fontId="6" fillId="4" borderId="13" xfId="84" applyNumberFormat="1" applyFont="1" applyFill="1" applyBorder="1" applyAlignment="1">
      <alignment horizontal="center"/>
    </xf>
    <xf numFmtId="170" fontId="65" fillId="0" borderId="0" xfId="84" applyNumberFormat="1" applyFont="1"/>
    <xf numFmtId="3" fontId="6" fillId="4" borderId="11" xfId="0" applyNumberFormat="1" applyFont="1" applyFill="1" applyBorder="1"/>
    <xf numFmtId="3" fontId="6" fillId="4" borderId="13" xfId="0" applyNumberFormat="1" applyFont="1" applyFill="1" applyBorder="1"/>
    <xf numFmtId="3" fontId="6" fillId="4" borderId="14" xfId="0" applyNumberFormat="1" applyFont="1" applyFill="1" applyBorder="1"/>
    <xf numFmtId="3" fontId="6" fillId="4" borderId="15" xfId="0" applyNumberFormat="1" applyFont="1" applyFill="1" applyBorder="1"/>
    <xf numFmtId="3" fontId="6" fillId="4" borderId="36" xfId="0" applyNumberFormat="1" applyFont="1" applyFill="1" applyBorder="1"/>
    <xf numFmtId="3" fontId="6" fillId="4" borderId="37" xfId="0" applyNumberFormat="1" applyFont="1" applyFill="1" applyBorder="1"/>
    <xf numFmtId="3" fontId="6" fillId="4" borderId="38" xfId="0" applyNumberFormat="1" applyFont="1" applyFill="1" applyBorder="1"/>
    <xf numFmtId="3" fontId="6" fillId="4" borderId="12" xfId="0" applyNumberFormat="1" applyFont="1" applyFill="1" applyBorder="1" applyAlignment="1">
      <alignment horizontal="center"/>
    </xf>
    <xf numFmtId="3" fontId="6" fillId="4" borderId="35" xfId="0" applyNumberFormat="1" applyFont="1" applyFill="1" applyBorder="1" applyAlignment="1">
      <alignment horizontal="center"/>
    </xf>
    <xf numFmtId="0" fontId="18" fillId="2" borderId="4" xfId="0" applyFont="1" applyFill="1" applyBorder="1" applyAlignment="1">
      <alignment vertical="center" wrapText="1"/>
    </xf>
    <xf numFmtId="0" fontId="5" fillId="2" borderId="3" xfId="0" applyFont="1" applyFill="1" applyBorder="1" applyAlignment="1">
      <alignment horizontal="center" vertical="center" wrapText="1"/>
    </xf>
    <xf numFmtId="0" fontId="4" fillId="0" borderId="8" xfId="0" applyFont="1" applyBorder="1"/>
    <xf numFmtId="0" fontId="4" fillId="0" borderId="12" xfId="0" applyFont="1" applyBorder="1"/>
    <xf numFmtId="0" fontId="69" fillId="0" borderId="0" xfId="0" applyFont="1" applyFill="1"/>
    <xf numFmtId="3" fontId="6" fillId="4" borderId="21" xfId="0" applyNumberFormat="1" applyFont="1" applyFill="1" applyBorder="1" applyAlignment="1">
      <alignment horizontal="center"/>
    </xf>
    <xf numFmtId="3" fontId="6" fillId="4" borderId="22" xfId="0" applyNumberFormat="1" applyFont="1" applyFill="1" applyBorder="1" applyAlignment="1">
      <alignment horizontal="center"/>
    </xf>
    <xf numFmtId="3" fontId="6" fillId="4" borderId="23" xfId="0" applyNumberFormat="1" applyFont="1" applyFill="1" applyBorder="1" applyAlignment="1">
      <alignment horizontal="center"/>
    </xf>
    <xf numFmtId="170" fontId="6" fillId="0" borderId="0" xfId="84" applyNumberFormat="1" applyFont="1" applyFill="1" applyBorder="1"/>
    <xf numFmtId="9" fontId="6" fillId="4" borderId="15" xfId="84" applyFont="1" applyFill="1" applyBorder="1" applyAlignment="1">
      <alignment horizontal="center"/>
    </xf>
    <xf numFmtId="3" fontId="6" fillId="4" borderId="29" xfId="0" applyNumberFormat="1" applyFont="1" applyFill="1" applyBorder="1"/>
    <xf numFmtId="3" fontId="6" fillId="4" borderId="25" xfId="0" applyNumberFormat="1" applyFont="1" applyFill="1" applyBorder="1"/>
    <xf numFmtId="3" fontId="6" fillId="4" borderId="30" xfId="0" applyNumberFormat="1" applyFont="1" applyFill="1" applyBorder="1"/>
    <xf numFmtId="3" fontId="6" fillId="4" borderId="26" xfId="0" applyNumberFormat="1" applyFont="1" applyFill="1" applyBorder="1"/>
    <xf numFmtId="3" fontId="6" fillId="4" borderId="31" xfId="0" applyNumberFormat="1" applyFont="1" applyFill="1" applyBorder="1"/>
    <xf numFmtId="9" fontId="65" fillId="0" borderId="0" xfId="0" applyNumberFormat="1" applyFont="1"/>
    <xf numFmtId="171" fontId="65" fillId="0" borderId="0" xfId="0" applyNumberFormat="1" applyFont="1"/>
    <xf numFmtId="10" fontId="65" fillId="0" borderId="0" xfId="84" applyNumberFormat="1" applyFont="1"/>
    <xf numFmtId="10" fontId="65" fillId="0" borderId="0" xfId="0" applyNumberFormat="1" applyFont="1"/>
    <xf numFmtId="170" fontId="6" fillId="4" borderId="30" xfId="84" applyNumberFormat="1" applyFont="1" applyFill="1" applyBorder="1" applyAlignment="1">
      <alignment horizontal="center"/>
    </xf>
    <xf numFmtId="170" fontId="6" fillId="4" borderId="26" xfId="84" applyNumberFormat="1" applyFont="1" applyFill="1" applyBorder="1" applyAlignment="1">
      <alignment horizontal="center"/>
    </xf>
    <xf numFmtId="170" fontId="4" fillId="0" borderId="10" xfId="84" applyNumberFormat="1" applyFont="1" applyFill="1" applyBorder="1" applyAlignment="1">
      <alignment horizontal="center" vertical="center"/>
    </xf>
    <xf numFmtId="0" fontId="65" fillId="0" borderId="0" xfId="0" applyFont="1" applyFill="1" applyBorder="1"/>
    <xf numFmtId="0" fontId="6" fillId="4" borderId="44" xfId="0" applyFont="1" applyFill="1" applyBorder="1" applyAlignment="1">
      <alignment horizontal="left" vertical="center" indent="1"/>
    </xf>
    <xf numFmtId="0" fontId="6" fillId="4" borderId="12" xfId="0" applyFont="1" applyFill="1" applyBorder="1" applyAlignment="1">
      <alignment horizontal="left" vertical="center" indent="1"/>
    </xf>
    <xf numFmtId="0" fontId="6" fillId="4" borderId="32" xfId="0" applyFont="1" applyFill="1" applyBorder="1" applyAlignment="1">
      <alignment horizontal="left" vertical="center" indent="1"/>
    </xf>
    <xf numFmtId="173" fontId="65" fillId="0" borderId="8" xfId="86" applyNumberFormat="1" applyFont="1" applyBorder="1"/>
    <xf numFmtId="173" fontId="61" fillId="0" borderId="16" xfId="86" applyNumberFormat="1" applyFont="1" applyBorder="1"/>
    <xf numFmtId="3" fontId="0" fillId="4" borderId="8" xfId="0" applyNumberFormat="1" applyFill="1" applyBorder="1" applyAlignment="1">
      <alignment horizontal="center" vertical="center"/>
    </xf>
    <xf numFmtId="3" fontId="0" fillId="4" borderId="12" xfId="0" applyNumberFormat="1" applyFill="1" applyBorder="1" applyAlignment="1">
      <alignment horizontal="center" vertical="center"/>
    </xf>
    <xf numFmtId="3" fontId="0" fillId="4" borderId="16" xfId="0" applyNumberFormat="1" applyFill="1" applyBorder="1" applyAlignment="1">
      <alignment horizontal="center" vertical="center"/>
    </xf>
    <xf numFmtId="0" fontId="6" fillId="2" borderId="39" xfId="0" applyFont="1" applyFill="1" applyBorder="1" applyAlignment="1">
      <alignment horizontal="center" vertical="center" wrapText="1"/>
    </xf>
    <xf numFmtId="0" fontId="6" fillId="4" borderId="8" xfId="0" applyFont="1" applyFill="1" applyBorder="1" applyAlignment="1">
      <alignment horizontal="left" vertical="center" wrapText="1" indent="2"/>
    </xf>
    <xf numFmtId="9" fontId="6" fillId="2" borderId="25" xfId="0" applyNumberFormat="1" applyFont="1" applyFill="1" applyBorder="1" applyAlignment="1">
      <alignment horizontal="center" vertical="center" wrapText="1"/>
    </xf>
    <xf numFmtId="0" fontId="6" fillId="4" borderId="12" xfId="0" applyFont="1" applyFill="1" applyBorder="1" applyAlignment="1">
      <alignment horizontal="left" vertical="center" wrapText="1" indent="2"/>
    </xf>
    <xf numFmtId="9" fontId="6" fillId="2" borderId="26" xfId="0" applyNumberFormat="1" applyFont="1" applyFill="1" applyBorder="1" applyAlignment="1">
      <alignment horizontal="center" vertical="center" wrapText="1"/>
    </xf>
    <xf numFmtId="0" fontId="6" fillId="4" borderId="16" xfId="0" applyFont="1" applyFill="1" applyBorder="1" applyAlignment="1">
      <alignment horizontal="left" vertical="center" wrapText="1" indent="2"/>
    </xf>
    <xf numFmtId="9" fontId="6" fillId="2" borderId="27" xfId="0" applyNumberFormat="1" applyFont="1" applyFill="1" applyBorder="1" applyAlignment="1">
      <alignment horizontal="center" vertical="center" wrapText="1"/>
    </xf>
    <xf numFmtId="0" fontId="6" fillId="2" borderId="8" xfId="0" applyFont="1" applyFill="1" applyBorder="1" applyAlignment="1">
      <alignment horizontal="left" vertical="center" wrapText="1" indent="2"/>
    </xf>
    <xf numFmtId="9" fontId="6" fillId="0" borderId="25" xfId="0" applyNumberFormat="1" applyFont="1" applyBorder="1" applyAlignment="1">
      <alignment horizontal="center" vertical="center" wrapText="1"/>
    </xf>
    <xf numFmtId="0" fontId="6" fillId="2" borderId="12" xfId="0" applyFont="1" applyFill="1" applyBorder="1" applyAlignment="1">
      <alignment horizontal="left" vertical="center" wrapText="1" indent="2"/>
    </xf>
    <xf numFmtId="9" fontId="6" fillId="0" borderId="26" xfId="0" applyNumberFormat="1" applyFont="1" applyBorder="1" applyAlignment="1">
      <alignment horizontal="center" vertical="center" wrapText="1"/>
    </xf>
    <xf numFmtId="0" fontId="6" fillId="2" borderId="16" xfId="0" applyFont="1" applyFill="1" applyBorder="1" applyAlignment="1">
      <alignment horizontal="left" vertical="center" wrapText="1" indent="2"/>
    </xf>
    <xf numFmtId="9" fontId="6" fillId="0" borderId="27" xfId="0" applyNumberFormat="1" applyFont="1" applyBorder="1" applyAlignment="1">
      <alignment horizontal="center" vertical="center" wrapText="1"/>
    </xf>
    <xf numFmtId="9" fontId="6" fillId="0" borderId="8" xfId="0" applyNumberFormat="1" applyFont="1" applyBorder="1" applyAlignment="1">
      <alignment horizontal="center" vertical="center" wrapText="1"/>
    </xf>
    <xf numFmtId="9" fontId="6" fillId="0" borderId="12" xfId="0" applyNumberFormat="1" applyFont="1" applyBorder="1" applyAlignment="1">
      <alignment horizontal="center" vertical="center" wrapText="1"/>
    </xf>
    <xf numFmtId="9" fontId="6" fillId="0" borderId="16" xfId="0" applyNumberFormat="1" applyFont="1" applyBorder="1" applyAlignment="1">
      <alignment horizontal="center" vertical="center" wrapText="1"/>
    </xf>
    <xf numFmtId="173" fontId="61" fillId="0" borderId="0" xfId="0" applyNumberFormat="1" applyFont="1" applyBorder="1"/>
    <xf numFmtId="0" fontId="5" fillId="0" borderId="16" xfId="0" applyFont="1" applyBorder="1"/>
    <xf numFmtId="173" fontId="61" fillId="2" borderId="4" xfId="0" applyNumberFormat="1" applyFont="1" applyFill="1" applyBorder="1"/>
    <xf numFmtId="0" fontId="61" fillId="2" borderId="1" xfId="0" applyFont="1" applyFill="1" applyBorder="1"/>
    <xf numFmtId="0" fontId="5" fillId="2" borderId="3" xfId="0" applyFont="1" applyFill="1" applyBorder="1" applyAlignment="1">
      <alignment horizontal="center" vertical="center" wrapText="1"/>
    </xf>
    <xf numFmtId="0" fontId="5" fillId="2" borderId="4" xfId="0" applyFont="1" applyFill="1" applyBorder="1" applyAlignment="1">
      <alignment vertical="center"/>
    </xf>
    <xf numFmtId="0" fontId="71" fillId="0" borderId="0" xfId="0" applyFont="1" applyAlignment="1">
      <alignment horizontal="center" vertical="center"/>
    </xf>
    <xf numFmtId="0" fontId="73" fillId="0" borderId="0" xfId="0" applyFont="1"/>
    <xf numFmtId="0" fontId="74" fillId="0" borderId="0" xfId="0" applyFont="1"/>
    <xf numFmtId="0" fontId="70" fillId="0" borderId="35" xfId="0" applyFont="1" applyBorder="1"/>
    <xf numFmtId="0" fontId="70" fillId="0" borderId="8" xfId="0" applyFont="1" applyBorder="1"/>
    <xf numFmtId="3" fontId="0" fillId="0" borderId="25" xfId="0" applyNumberFormat="1" applyBorder="1" applyAlignment="1">
      <alignment horizontal="right"/>
    </xf>
    <xf numFmtId="0" fontId="70" fillId="0" borderId="12" xfId="0" applyFont="1" applyBorder="1"/>
    <xf numFmtId="0" fontId="70" fillId="0" borderId="32" xfId="0" applyFont="1" applyBorder="1"/>
    <xf numFmtId="3" fontId="0" fillId="0" borderId="85" xfId="0" applyNumberFormat="1" applyBorder="1"/>
    <xf numFmtId="0" fontId="70" fillId="2" borderId="4" xfId="0" applyFont="1" applyFill="1" applyBorder="1"/>
    <xf numFmtId="173" fontId="5" fillId="2" borderId="3" xfId="86" applyNumberFormat="1" applyFont="1" applyFill="1" applyBorder="1"/>
    <xf numFmtId="0" fontId="70" fillId="2" borderId="82" xfId="0" applyFont="1" applyFill="1" applyBorder="1" applyAlignment="1">
      <alignment horizontal="center"/>
    </xf>
    <xf numFmtId="0" fontId="70" fillId="2" borderId="83" xfId="0" applyFont="1" applyFill="1" applyBorder="1" applyAlignment="1">
      <alignment horizontal="center"/>
    </xf>
    <xf numFmtId="0" fontId="70" fillId="2" borderId="84" xfId="0" applyFont="1" applyFill="1" applyBorder="1" applyAlignment="1">
      <alignment horizontal="center"/>
    </xf>
    <xf numFmtId="0" fontId="70" fillId="2" borderId="58" xfId="0" applyFont="1" applyFill="1" applyBorder="1" applyAlignment="1">
      <alignment horizontal="left"/>
    </xf>
    <xf numFmtId="0" fontId="70" fillId="2" borderId="59" xfId="0" applyFont="1" applyFill="1" applyBorder="1" applyAlignment="1">
      <alignment horizontal="left"/>
    </xf>
    <xf numFmtId="0" fontId="70" fillId="2" borderId="60" xfId="0" applyFont="1" applyFill="1" applyBorder="1" applyAlignment="1">
      <alignment horizontal="left"/>
    </xf>
    <xf numFmtId="3" fontId="75" fillId="0" borderId="9" xfId="0" applyNumberFormat="1" applyFont="1" applyBorder="1" applyAlignment="1">
      <alignment horizontal="center"/>
    </xf>
    <xf numFmtId="4" fontId="75" fillId="0" borderId="10" xfId="0" applyNumberFormat="1" applyFont="1" applyBorder="1" applyAlignment="1">
      <alignment horizontal="center"/>
    </xf>
    <xf numFmtId="4" fontId="75" fillId="0" borderId="11" xfId="0" applyNumberFormat="1" applyFont="1" applyBorder="1" applyAlignment="1">
      <alignment horizontal="center"/>
    </xf>
    <xf numFmtId="4" fontId="75" fillId="0" borderId="13" xfId="0" applyNumberFormat="1" applyFont="1" applyBorder="1" applyAlignment="1">
      <alignment horizontal="center"/>
    </xf>
    <xf numFmtId="3" fontId="75" fillId="0" borderId="14" xfId="0" applyNumberFormat="1" applyFont="1" applyBorder="1" applyAlignment="1">
      <alignment horizontal="center"/>
    </xf>
    <xf numFmtId="4" fontId="75" fillId="0" borderId="14" xfId="0" applyNumberFormat="1" applyFont="1" applyBorder="1" applyAlignment="1">
      <alignment horizontal="center"/>
    </xf>
    <xf numFmtId="4" fontId="75" fillId="0" borderId="15" xfId="0" applyNumberFormat="1" applyFont="1" applyBorder="1" applyAlignment="1">
      <alignment horizontal="center"/>
    </xf>
    <xf numFmtId="4" fontId="75" fillId="0" borderId="17" xfId="0" applyNumberFormat="1" applyFont="1" applyBorder="1" applyAlignment="1">
      <alignment horizontal="center"/>
    </xf>
    <xf numFmtId="4" fontId="75" fillId="0" borderId="18" xfId="0" applyNumberFormat="1" applyFont="1" applyBorder="1" applyAlignment="1">
      <alignment horizontal="center"/>
    </xf>
    <xf numFmtId="3" fontId="75" fillId="0" borderId="19" xfId="0" applyNumberFormat="1" applyFont="1" applyBorder="1" applyAlignment="1">
      <alignment horizontal="center"/>
    </xf>
    <xf numFmtId="3" fontId="75" fillId="0" borderId="5" xfId="0" applyNumberFormat="1" applyFont="1" applyBorder="1" applyAlignment="1">
      <alignment horizontal="center"/>
    </xf>
    <xf numFmtId="3" fontId="75" fillId="0" borderId="6" xfId="0" applyNumberFormat="1" applyFont="1" applyBorder="1" applyAlignment="1">
      <alignment horizontal="center"/>
    </xf>
    <xf numFmtId="3" fontId="75" fillId="0" borderId="7" xfId="0" applyNumberFormat="1" applyFont="1" applyBorder="1" applyAlignment="1">
      <alignment horizontal="center"/>
    </xf>
    <xf numFmtId="3" fontId="5" fillId="0" borderId="39" xfId="86" applyNumberFormat="1" applyFont="1" applyFill="1" applyBorder="1"/>
    <xf numFmtId="0" fontId="71" fillId="0" borderId="0" xfId="0" applyFont="1" applyAlignment="1">
      <alignment horizontal="center" vertical="center"/>
    </xf>
    <xf numFmtId="0" fontId="61" fillId="0" borderId="0" xfId="0" applyFont="1" applyBorder="1" applyAlignment="1">
      <alignment horizontal="center" vertical="center"/>
    </xf>
    <xf numFmtId="0" fontId="65" fillId="0" borderId="58" xfId="0" applyFont="1" applyBorder="1"/>
    <xf numFmtId="173" fontId="61" fillId="0" borderId="8" xfId="0" applyNumberFormat="1" applyFont="1" applyBorder="1"/>
    <xf numFmtId="0" fontId="65" fillId="0" borderId="60" xfId="0" applyFont="1" applyBorder="1"/>
    <xf numFmtId="173" fontId="61" fillId="0" borderId="16" xfId="0" applyNumberFormat="1" applyFont="1" applyBorder="1"/>
    <xf numFmtId="0" fontId="29" fillId="0" borderId="0" xfId="0" applyFont="1" applyBorder="1"/>
    <xf numFmtId="0" fontId="16" fillId="2" borderId="5" xfId="0" applyFont="1" applyFill="1" applyBorder="1" applyAlignment="1">
      <alignment horizontal="center" vertical="center" wrapText="1"/>
    </xf>
    <xf numFmtId="3" fontId="6" fillId="4" borderId="9" xfId="0" applyNumberFormat="1" applyFont="1" applyFill="1" applyBorder="1" applyAlignment="1"/>
    <xf numFmtId="3" fontId="6" fillId="4" borderId="29" xfId="0" applyNumberFormat="1" applyFont="1" applyFill="1" applyBorder="1" applyAlignment="1"/>
    <xf numFmtId="3" fontId="6" fillId="4" borderId="13" xfId="0" applyNumberFormat="1" applyFont="1" applyFill="1" applyBorder="1" applyAlignment="1"/>
    <xf numFmtId="3" fontId="6" fillId="4" borderId="30" xfId="0" applyNumberFormat="1" applyFont="1" applyFill="1" applyBorder="1" applyAlignment="1"/>
    <xf numFmtId="9" fontId="6" fillId="4" borderId="13" xfId="84" applyFont="1" applyFill="1" applyBorder="1" applyAlignment="1"/>
    <xf numFmtId="9" fontId="6" fillId="4" borderId="30" xfId="84" applyFont="1" applyFill="1" applyBorder="1" applyAlignment="1"/>
    <xf numFmtId="3" fontId="6" fillId="4" borderId="17" xfId="0" applyNumberFormat="1" applyFont="1" applyFill="1" applyBorder="1" applyAlignment="1"/>
    <xf numFmtId="3" fontId="6" fillId="4" borderId="31" xfId="0" applyNumberFormat="1" applyFont="1" applyFill="1" applyBorder="1" applyAlignment="1"/>
    <xf numFmtId="9" fontId="4" fillId="4" borderId="30" xfId="84" applyFont="1" applyFill="1" applyBorder="1" applyAlignment="1">
      <alignment horizontal="center"/>
    </xf>
    <xf numFmtId="9" fontId="4" fillId="4" borderId="15" xfId="84" applyFont="1" applyFill="1" applyBorder="1" applyAlignment="1">
      <alignment horizontal="center"/>
    </xf>
    <xf numFmtId="3" fontId="6" fillId="4" borderId="45" xfId="0" applyNumberFormat="1" applyFont="1" applyFill="1" applyBorder="1"/>
    <xf numFmtId="0" fontId="16" fillId="2" borderId="6" xfId="0" applyFont="1" applyFill="1" applyBorder="1" applyAlignment="1">
      <alignment horizontal="center" vertical="center" wrapText="1"/>
    </xf>
    <xf numFmtId="0" fontId="77" fillId="0" borderId="0" xfId="0" applyFont="1"/>
    <xf numFmtId="3" fontId="3" fillId="0" borderId="0" xfId="0" applyNumberFormat="1" applyFont="1" applyAlignment="1">
      <alignment horizontal="right"/>
    </xf>
    <xf numFmtId="0" fontId="3" fillId="0" borderId="0" xfId="0" applyFont="1" applyAlignment="1">
      <alignment horizontal="right"/>
    </xf>
    <xf numFmtId="3" fontId="3" fillId="0" borderId="0" xfId="0" applyNumberFormat="1" applyFont="1"/>
    <xf numFmtId="0" fontId="15" fillId="0" borderId="0" xfId="0" applyFont="1" applyBorder="1" applyAlignment="1">
      <alignment vertical="center"/>
    </xf>
    <xf numFmtId="0" fontId="65" fillId="24" borderId="0" xfId="0" applyFont="1" applyFill="1" applyBorder="1"/>
    <xf numFmtId="3" fontId="65" fillId="0" borderId="0" xfId="0" applyNumberFormat="1" applyFont="1" applyAlignment="1">
      <alignment horizontal="center"/>
    </xf>
    <xf numFmtId="3" fontId="65" fillId="0" borderId="0" xfId="0" applyNumberFormat="1" applyFont="1" applyFill="1"/>
    <xf numFmtId="3" fontId="65" fillId="0" borderId="0" xfId="0" applyNumberFormat="1" applyFont="1" applyFill="1" applyAlignment="1">
      <alignment horizontal="center"/>
    </xf>
    <xf numFmtId="0" fontId="65" fillId="0" borderId="0" xfId="0" applyFont="1" applyAlignment="1">
      <alignment horizontal="center"/>
    </xf>
    <xf numFmtId="0" fontId="65" fillId="0" borderId="29" xfId="0" applyFont="1" applyBorder="1" applyAlignment="1">
      <alignment horizontal="center"/>
    </xf>
    <xf numFmtId="170" fontId="65" fillId="0" borderId="21" xfId="84" applyNumberFormat="1" applyFont="1" applyBorder="1" applyAlignment="1">
      <alignment horizontal="center"/>
    </xf>
    <xf numFmtId="170" fontId="65" fillId="0" borderId="22" xfId="84" applyNumberFormat="1" applyFont="1" applyBorder="1" applyAlignment="1">
      <alignment horizontal="center"/>
    </xf>
    <xf numFmtId="10" fontId="4" fillId="0" borderId="12" xfId="84" applyNumberFormat="1" applyFont="1" applyBorder="1" applyAlignment="1">
      <alignment horizontal="right"/>
    </xf>
    <xf numFmtId="10" fontId="4" fillId="0" borderId="12" xfId="0" applyNumberFormat="1" applyFont="1" applyBorder="1" applyAlignment="1">
      <alignment horizontal="right"/>
    </xf>
    <xf numFmtId="9" fontId="65" fillId="0" borderId="0" xfId="84" applyNumberFormat="1" applyFont="1"/>
    <xf numFmtId="3" fontId="6" fillId="4" borderId="0" xfId="0" applyNumberFormat="1" applyFont="1" applyFill="1" applyBorder="1" applyAlignment="1">
      <alignment horizontal="center"/>
    </xf>
    <xf numFmtId="9" fontId="65" fillId="0" borderId="0" xfId="84" applyNumberFormat="1" applyFont="1" applyBorder="1"/>
    <xf numFmtId="0" fontId="0" fillId="24" borderId="0" xfId="0" applyFill="1"/>
    <xf numFmtId="170" fontId="6" fillId="0" borderId="52" xfId="84" applyNumberFormat="1" applyFont="1" applyFill="1" applyBorder="1" applyAlignment="1">
      <alignment horizontal="center"/>
    </xf>
    <xf numFmtId="3" fontId="6" fillId="0" borderId="61" xfId="0" applyNumberFormat="1" applyFont="1" applyFill="1" applyBorder="1" applyAlignment="1">
      <alignment horizontal="center"/>
    </xf>
    <xf numFmtId="170" fontId="6" fillId="0" borderId="44" xfId="84" applyNumberFormat="1" applyFont="1" applyFill="1" applyBorder="1" applyAlignment="1">
      <alignment horizontal="center"/>
    </xf>
    <xf numFmtId="3" fontId="6" fillId="0" borderId="16" xfId="0" applyNumberFormat="1" applyFont="1" applyFill="1" applyBorder="1" applyAlignment="1">
      <alignment horizontal="center"/>
    </xf>
    <xf numFmtId="3" fontId="6" fillId="0" borderId="21" xfId="0" applyNumberFormat="1" applyFont="1" applyFill="1" applyBorder="1" applyAlignment="1">
      <alignment horizontal="center"/>
    </xf>
    <xf numFmtId="3" fontId="6" fillId="0" borderId="8" xfId="0" applyNumberFormat="1" applyFont="1" applyFill="1" applyBorder="1" applyAlignment="1">
      <alignment horizontal="center"/>
    </xf>
    <xf numFmtId="3" fontId="4" fillId="4" borderId="29" xfId="0" applyNumberFormat="1" applyFont="1" applyFill="1" applyBorder="1" applyAlignment="1">
      <alignment horizontal="center"/>
    </xf>
    <xf numFmtId="3" fontId="4" fillId="4" borderId="31" xfId="0" applyNumberFormat="1" applyFont="1" applyFill="1" applyBorder="1" applyAlignment="1">
      <alignment horizontal="center"/>
    </xf>
    <xf numFmtId="3" fontId="4" fillId="0" borderId="0" xfId="0" applyNumberFormat="1" applyFont="1" applyFill="1"/>
    <xf numFmtId="186" fontId="65" fillId="0" borderId="0" xfId="0" applyNumberFormat="1" applyFont="1" applyBorder="1"/>
    <xf numFmtId="0" fontId="65" fillId="0" borderId="31" xfId="0" applyFont="1" applyBorder="1" applyAlignment="1">
      <alignment horizontal="center"/>
    </xf>
    <xf numFmtId="170" fontId="65" fillId="0" borderId="23" xfId="84" applyNumberFormat="1" applyFont="1" applyBorder="1" applyAlignment="1">
      <alignment horizontal="center"/>
    </xf>
    <xf numFmtId="0" fontId="14" fillId="2" borderId="3" xfId="0" applyFont="1" applyFill="1" applyBorder="1" applyAlignment="1">
      <alignment horizontal="center"/>
    </xf>
    <xf numFmtId="0" fontId="65" fillId="0" borderId="0" xfId="0" applyFont="1" applyBorder="1" applyAlignment="1">
      <alignment horizontal="center"/>
    </xf>
    <xf numFmtId="9" fontId="65" fillId="0" borderId="0" xfId="0" applyNumberFormat="1" applyFont="1" applyBorder="1" applyAlignment="1">
      <alignment horizontal="center"/>
    </xf>
    <xf numFmtId="187" fontId="65" fillId="0" borderId="0" xfId="84" applyNumberFormat="1" applyFont="1" applyBorder="1"/>
    <xf numFmtId="10" fontId="65" fillId="0" borderId="0" xfId="84" applyNumberFormat="1" applyFont="1" applyBorder="1"/>
    <xf numFmtId="0" fontId="61" fillId="0" borderId="0" xfId="0" applyFont="1" applyBorder="1"/>
    <xf numFmtId="0" fontId="65" fillId="0" borderId="0" xfId="0" applyFont="1" applyFill="1" applyBorder="1" applyAlignment="1">
      <alignment horizontal="center"/>
    </xf>
    <xf numFmtId="0" fontId="16" fillId="24" borderId="0" xfId="0" applyFont="1" applyFill="1"/>
    <xf numFmtId="0" fontId="81" fillId="0" borderId="0" xfId="0" applyFont="1" applyBorder="1"/>
    <xf numFmtId="0" fontId="26" fillId="0" borderId="0" xfId="0" applyFont="1"/>
    <xf numFmtId="3" fontId="26" fillId="0" borderId="0" xfId="86" applyNumberFormat="1" applyFont="1" applyFill="1" applyBorder="1" applyAlignment="1">
      <alignment horizontal="center" vertical="center" wrapText="1"/>
    </xf>
    <xf numFmtId="173" fontId="65" fillId="0" borderId="0" xfId="86" applyNumberFormat="1" applyFont="1" applyFill="1" applyBorder="1" applyAlignment="1">
      <alignment horizontal="center"/>
    </xf>
    <xf numFmtId="173" fontId="65" fillId="0" borderId="0" xfId="0" applyNumberFormat="1" applyFont="1" applyBorder="1" applyAlignment="1">
      <alignment horizontal="center"/>
    </xf>
    <xf numFmtId="173" fontId="4" fillId="2" borderId="85" xfId="86" applyNumberFormat="1" applyFont="1" applyFill="1" applyBorder="1" applyAlignment="1">
      <alignment horizontal="center" vertical="center" wrapText="1"/>
    </xf>
    <xf numFmtId="3" fontId="5" fillId="2" borderId="28" xfId="0" applyNumberFormat="1" applyFont="1" applyFill="1" applyBorder="1"/>
    <xf numFmtId="3" fontId="5" fillId="2" borderId="6" xfId="0" applyNumberFormat="1" applyFont="1" applyFill="1" applyBorder="1"/>
    <xf numFmtId="3" fontId="5" fillId="2" borderId="7" xfId="0" applyNumberFormat="1" applyFont="1" applyFill="1" applyBorder="1"/>
    <xf numFmtId="0" fontId="5" fillId="0" borderId="0" xfId="0" applyFont="1" applyFill="1" applyBorder="1" applyAlignment="1">
      <alignment horizontal="center"/>
    </xf>
    <xf numFmtId="0" fontId="14" fillId="2" borderId="4" xfId="0" applyFont="1" applyFill="1" applyBorder="1" applyAlignment="1">
      <alignment horizontal="center"/>
    </xf>
    <xf numFmtId="3" fontId="0" fillId="4" borderId="35" xfId="0" applyNumberFormat="1" applyFill="1" applyBorder="1" applyAlignment="1">
      <alignment horizontal="center"/>
    </xf>
    <xf numFmtId="2" fontId="0" fillId="4" borderId="39" xfId="0" applyNumberFormat="1" applyFill="1" applyBorder="1" applyAlignment="1">
      <alignment horizontal="center"/>
    </xf>
    <xf numFmtId="10" fontId="14" fillId="0" borderId="0" xfId="84" applyNumberFormat="1" applyFont="1"/>
    <xf numFmtId="3" fontId="6" fillId="0" borderId="14" xfId="0" applyNumberFormat="1" applyFont="1" applyFill="1" applyBorder="1"/>
    <xf numFmtId="173" fontId="14" fillId="2" borderId="4" xfId="86" applyNumberFormat="1" applyFont="1" applyFill="1" applyBorder="1"/>
    <xf numFmtId="9" fontId="15" fillId="0" borderId="0" xfId="84" applyFont="1" applyFill="1"/>
    <xf numFmtId="43" fontId="0" fillId="0" borderId="0" xfId="86" applyFont="1"/>
    <xf numFmtId="10" fontId="4" fillId="0" borderId="12" xfId="0" applyNumberFormat="1" applyFont="1" applyFill="1" applyBorder="1" applyAlignment="1">
      <alignment horizontal="right"/>
    </xf>
    <xf numFmtId="0" fontId="6" fillId="0" borderId="32" xfId="0" applyFont="1" applyFill="1" applyBorder="1" applyAlignment="1">
      <alignment horizontal="left" vertical="center" indent="1"/>
    </xf>
    <xf numFmtId="173" fontId="6" fillId="0" borderId="12" xfId="86" applyNumberFormat="1" applyFont="1" applyFill="1" applyBorder="1" applyAlignment="1">
      <alignment horizontal="right"/>
    </xf>
    <xf numFmtId="0" fontId="6" fillId="0" borderId="12" xfId="0" applyFont="1" applyFill="1" applyBorder="1" applyAlignment="1">
      <alignment horizontal="left" vertical="center" indent="1"/>
    </xf>
    <xf numFmtId="0" fontId="5" fillId="2" borderId="3" xfId="0" applyFont="1" applyFill="1" applyBorder="1" applyAlignment="1">
      <alignment horizontal="center" vertical="center" wrapText="1"/>
    </xf>
    <xf numFmtId="3" fontId="4" fillId="0" borderId="29" xfId="0" applyNumberFormat="1" applyFont="1" applyFill="1" applyBorder="1" applyAlignment="1">
      <alignment vertical="center"/>
    </xf>
    <xf numFmtId="3" fontId="14" fillId="2" borderId="3" xfId="0" applyNumberFormat="1" applyFont="1" applyFill="1" applyBorder="1"/>
    <xf numFmtId="3" fontId="0" fillId="0" borderId="25" xfId="0" applyNumberFormat="1" applyBorder="1"/>
    <xf numFmtId="0" fontId="0" fillId="0" borderId="8" xfId="0" applyBorder="1" applyAlignment="1">
      <alignment horizontal="left" indent="2"/>
    </xf>
    <xf numFmtId="0" fontId="0" fillId="0" borderId="12" xfId="0" applyBorder="1" applyAlignment="1">
      <alignment horizontal="left" indent="2"/>
    </xf>
    <xf numFmtId="0" fontId="0" fillId="0" borderId="16" xfId="0" applyBorder="1" applyAlignment="1">
      <alignment horizontal="left" indent="2"/>
    </xf>
    <xf numFmtId="0" fontId="14" fillId="2" borderId="40" xfId="0" applyFont="1" applyFill="1" applyBorder="1" applyAlignment="1">
      <alignment horizontal="left" indent="1"/>
    </xf>
    <xf numFmtId="9" fontId="16" fillId="24" borderId="18" xfId="84" applyNumberFormat="1" applyFont="1" applyFill="1" applyBorder="1" applyAlignment="1">
      <alignment horizontal="center"/>
    </xf>
    <xf numFmtId="3" fontId="6" fillId="0" borderId="87" xfId="0" applyNumberFormat="1" applyFont="1" applyFill="1" applyBorder="1" applyAlignment="1">
      <alignment horizontal="center"/>
    </xf>
    <xf numFmtId="9" fontId="4" fillId="0" borderId="0" xfId="84" applyNumberFormat="1" applyFont="1" applyFill="1" applyBorder="1"/>
    <xf numFmtId="0" fontId="65" fillId="0" borderId="29" xfId="0" applyFont="1" applyFill="1" applyBorder="1" applyAlignment="1">
      <alignment horizontal="center"/>
    </xf>
    <xf numFmtId="0" fontId="65" fillId="0" borderId="30" xfId="0" applyFont="1" applyFill="1" applyBorder="1" applyAlignment="1">
      <alignment horizontal="center"/>
    </xf>
    <xf numFmtId="170" fontId="14" fillId="0" borderId="0" xfId="84" applyNumberFormat="1" applyFont="1"/>
    <xf numFmtId="0" fontId="18" fillId="2" borderId="20" xfId="0" applyFont="1" applyFill="1" applyBorder="1" applyAlignment="1">
      <alignment horizontal="center" vertical="center" wrapText="1"/>
    </xf>
    <xf numFmtId="0" fontId="5" fillId="0" borderId="0" xfId="0" applyFont="1" applyFill="1" applyAlignment="1">
      <alignment horizontal="left" vertical="center" wrapText="1"/>
    </xf>
    <xf numFmtId="0" fontId="4" fillId="0" borderId="0" xfId="0" applyFont="1" applyFill="1" applyAlignment="1">
      <alignment horizontal="left" vertical="center" wrapText="1"/>
    </xf>
    <xf numFmtId="0" fontId="0" fillId="0" borderId="0" xfId="0" applyFill="1" applyBorder="1" applyAlignment="1">
      <alignment horizontal="left" indent="2"/>
    </xf>
    <xf numFmtId="0" fontId="5" fillId="25" borderId="16" xfId="0" applyFont="1" applyFill="1" applyBorder="1" applyAlignment="1">
      <alignment horizontal="center" vertical="center"/>
    </xf>
    <xf numFmtId="3" fontId="5" fillId="25" borderId="18" xfId="0" applyNumberFormat="1" applyFont="1" applyFill="1" applyBorder="1" applyAlignment="1">
      <alignment horizontal="right" vertical="center"/>
    </xf>
    <xf numFmtId="3" fontId="18" fillId="25" borderId="27" xfId="0" applyNumberFormat="1" applyFont="1" applyFill="1" applyBorder="1" applyAlignment="1">
      <alignment horizontal="right" vertical="center"/>
    </xf>
    <xf numFmtId="3" fontId="5" fillId="25" borderId="27" xfId="0" applyNumberFormat="1" applyFont="1" applyFill="1" applyBorder="1" applyAlignment="1">
      <alignment horizontal="right" vertical="center"/>
    </xf>
    <xf numFmtId="0" fontId="61" fillId="0" borderId="71" xfId="0" applyFont="1" applyBorder="1" applyAlignment="1">
      <alignment horizontal="center"/>
    </xf>
    <xf numFmtId="2" fontId="65" fillId="0" borderId="0" xfId="0" applyNumberFormat="1" applyFont="1" applyBorder="1" applyAlignment="1">
      <alignment horizontal="center"/>
    </xf>
    <xf numFmtId="2" fontId="65" fillId="0" borderId="51" xfId="0" applyNumberFormat="1" applyFont="1" applyBorder="1" applyAlignment="1">
      <alignment horizontal="center"/>
    </xf>
    <xf numFmtId="10" fontId="65" fillId="0" borderId="0" xfId="0" applyNumberFormat="1" applyFont="1" applyBorder="1" applyAlignment="1">
      <alignment horizontal="center"/>
    </xf>
    <xf numFmtId="3" fontId="65" fillId="24" borderId="51" xfId="0" applyNumberFormat="1" applyFont="1" applyFill="1" applyBorder="1" applyAlignment="1">
      <alignment horizontal="center"/>
    </xf>
    <xf numFmtId="3" fontId="65" fillId="0" borderId="51" xfId="0" applyNumberFormat="1" applyFont="1" applyBorder="1" applyAlignment="1">
      <alignment horizontal="center"/>
    </xf>
    <xf numFmtId="0" fontId="65" fillId="0" borderId="71" xfId="0" applyFont="1" applyBorder="1"/>
    <xf numFmtId="0" fontId="65" fillId="0" borderId="51" xfId="0" applyFont="1" applyBorder="1"/>
    <xf numFmtId="0" fontId="0" fillId="0" borderId="71" xfId="0" applyBorder="1"/>
    <xf numFmtId="0" fontId="0" fillId="0" borderId="51" xfId="0" applyBorder="1"/>
    <xf numFmtId="0" fontId="61" fillId="0" borderId="70" xfId="0" applyFont="1" applyBorder="1" applyAlignment="1">
      <alignment horizontal="center"/>
    </xf>
    <xf numFmtId="9" fontId="65" fillId="0" borderId="72" xfId="0" applyNumberFormat="1" applyFont="1" applyBorder="1" applyAlignment="1">
      <alignment horizontal="center"/>
    </xf>
    <xf numFmtId="3" fontId="65" fillId="0" borderId="39" xfId="0" applyNumberFormat="1" applyFont="1" applyBorder="1" applyAlignment="1">
      <alignment horizontal="center"/>
    </xf>
    <xf numFmtId="3" fontId="6" fillId="0" borderId="12" xfId="0" applyNumberFormat="1" applyFont="1" applyFill="1" applyBorder="1" applyAlignment="1">
      <alignment horizontal="center"/>
    </xf>
    <xf numFmtId="3" fontId="6" fillId="0" borderId="13" xfId="0" applyNumberFormat="1" applyFont="1" applyFill="1" applyBorder="1" applyAlignment="1">
      <alignment horizontal="center"/>
    </xf>
    <xf numFmtId="3" fontId="6" fillId="0" borderId="14" xfId="0" applyNumberFormat="1" applyFont="1" applyFill="1" applyBorder="1" applyAlignment="1">
      <alignment horizontal="center"/>
    </xf>
    <xf numFmtId="3" fontId="6" fillId="0" borderId="13" xfId="84" applyNumberFormat="1" applyFont="1" applyFill="1" applyBorder="1" applyAlignment="1">
      <alignment horizontal="center"/>
    </xf>
    <xf numFmtId="3" fontId="6" fillId="0" borderId="13" xfId="0" applyNumberFormat="1" applyFont="1" applyFill="1" applyBorder="1"/>
    <xf numFmtId="3" fontId="6" fillId="0" borderId="15" xfId="0" applyNumberFormat="1" applyFont="1" applyFill="1" applyBorder="1"/>
    <xf numFmtId="0" fontId="65" fillId="0" borderId="88" xfId="0" applyFont="1" applyFill="1" applyBorder="1" applyAlignment="1">
      <alignment horizontal="right"/>
    </xf>
    <xf numFmtId="0" fontId="65" fillId="0" borderId="86" xfId="0" applyFont="1" applyFill="1" applyBorder="1" applyAlignment="1">
      <alignment horizontal="center"/>
    </xf>
    <xf numFmtId="0" fontId="65" fillId="0" borderId="86" xfId="0" applyFont="1" applyFill="1" applyBorder="1"/>
    <xf numFmtId="0" fontId="65" fillId="0" borderId="41" xfId="0" applyFont="1" applyFill="1" applyBorder="1"/>
    <xf numFmtId="0" fontId="65" fillId="0" borderId="71" xfId="0" applyFont="1" applyFill="1" applyBorder="1" applyAlignment="1">
      <alignment horizontal="right"/>
    </xf>
    <xf numFmtId="10" fontId="65" fillId="0" borderId="0" xfId="0" applyNumberFormat="1" applyFont="1" applyFill="1" applyBorder="1" applyAlignment="1">
      <alignment horizontal="center"/>
    </xf>
    <xf numFmtId="0" fontId="65" fillId="0" borderId="51" xfId="0" applyFont="1" applyFill="1" applyBorder="1"/>
    <xf numFmtId="9" fontId="65" fillId="0" borderId="0" xfId="0" applyNumberFormat="1" applyFont="1" applyFill="1" applyBorder="1" applyAlignment="1">
      <alignment horizontal="center"/>
    </xf>
    <xf numFmtId="2" fontId="65" fillId="0" borderId="0" xfId="0" applyNumberFormat="1" applyFont="1" applyFill="1" applyBorder="1" applyAlignment="1">
      <alignment horizontal="center"/>
    </xf>
    <xf numFmtId="3" fontId="65" fillId="24" borderId="0" xfId="0" applyNumberFormat="1" applyFont="1" applyFill="1" applyBorder="1" applyAlignment="1">
      <alignment horizontal="center"/>
    </xf>
    <xf numFmtId="3" fontId="65" fillId="0" borderId="0" xfId="0" applyNumberFormat="1" applyFont="1" applyFill="1" applyBorder="1"/>
    <xf numFmtId="3" fontId="65" fillId="0" borderId="0" xfId="0" applyNumberFormat="1" applyFont="1" applyFill="1" applyBorder="1" applyAlignment="1">
      <alignment horizontal="center"/>
    </xf>
    <xf numFmtId="0" fontId="65" fillId="0" borderId="71" xfId="0" applyFont="1" applyFill="1" applyBorder="1"/>
    <xf numFmtId="0" fontId="65" fillId="0" borderId="51" xfId="0" applyFont="1" applyFill="1" applyBorder="1" applyAlignment="1">
      <alignment horizontal="center"/>
    </xf>
    <xf numFmtId="10" fontId="65" fillId="0" borderId="51" xfId="0" applyNumberFormat="1" applyFont="1" applyFill="1" applyBorder="1" applyAlignment="1">
      <alignment horizontal="center"/>
    </xf>
    <xf numFmtId="9" fontId="65" fillId="0" borderId="51" xfId="0" applyNumberFormat="1" applyFont="1" applyFill="1" applyBorder="1" applyAlignment="1">
      <alignment horizontal="center"/>
    </xf>
    <xf numFmtId="2" fontId="65" fillId="0" borderId="51" xfId="0" applyNumberFormat="1" applyFont="1" applyFill="1" applyBorder="1" applyAlignment="1">
      <alignment horizontal="center"/>
    </xf>
    <xf numFmtId="3" fontId="65" fillId="0" borderId="51" xfId="0" applyNumberFormat="1" applyFont="1" applyFill="1" applyBorder="1" applyAlignment="1">
      <alignment horizontal="center"/>
    </xf>
    <xf numFmtId="0" fontId="65" fillId="0" borderId="70" xfId="0" applyFont="1" applyFill="1" applyBorder="1" applyAlignment="1">
      <alignment horizontal="right"/>
    </xf>
    <xf numFmtId="0" fontId="65" fillId="0" borderId="72" xfId="0" applyFont="1" applyBorder="1"/>
    <xf numFmtId="3" fontId="65" fillId="0" borderId="72" xfId="0" applyNumberFormat="1" applyFont="1" applyFill="1" applyBorder="1" applyAlignment="1">
      <alignment horizontal="center"/>
    </xf>
    <xf numFmtId="0" fontId="65" fillId="0" borderId="39" xfId="0" applyFont="1" applyBorder="1"/>
    <xf numFmtId="0" fontId="65" fillId="0" borderId="41" xfId="0" applyFont="1" applyFill="1" applyBorder="1" applyAlignment="1">
      <alignment horizontal="center"/>
    </xf>
    <xf numFmtId="3" fontId="65" fillId="0" borderId="39" xfId="0" applyNumberFormat="1" applyFont="1" applyFill="1" applyBorder="1" applyAlignment="1">
      <alignment horizontal="center"/>
    </xf>
    <xf numFmtId="3" fontId="6" fillId="0" borderId="9" xfId="0" applyNumberFormat="1" applyFont="1" applyFill="1" applyBorder="1"/>
    <xf numFmtId="3" fontId="6" fillId="0" borderId="10" xfId="0" applyNumberFormat="1" applyFont="1" applyFill="1" applyBorder="1"/>
    <xf numFmtId="3" fontId="6" fillId="0" borderId="11" xfId="0" applyNumberFormat="1" applyFont="1" applyFill="1" applyBorder="1"/>
    <xf numFmtId="0" fontId="65" fillId="0" borderId="86" xfId="0" applyFont="1" applyBorder="1"/>
    <xf numFmtId="0" fontId="65" fillId="0" borderId="39" xfId="0" applyFont="1" applyFill="1" applyBorder="1"/>
    <xf numFmtId="3" fontId="6" fillId="4" borderId="10" xfId="0" applyNumberFormat="1" applyFont="1" applyFill="1" applyBorder="1" applyAlignment="1"/>
    <xf numFmtId="3" fontId="6" fillId="4" borderId="11" xfId="0" applyNumberFormat="1" applyFont="1" applyFill="1" applyBorder="1" applyAlignment="1"/>
    <xf numFmtId="9" fontId="6" fillId="4" borderId="57" xfId="84" applyFont="1" applyFill="1" applyBorder="1" applyAlignment="1"/>
    <xf numFmtId="9" fontId="6" fillId="4" borderId="65" xfId="84" applyFont="1" applyFill="1" applyBorder="1" applyAlignment="1"/>
    <xf numFmtId="3" fontId="6" fillId="4" borderId="18" xfId="0" applyNumberFormat="1" applyFont="1" applyFill="1" applyBorder="1" applyAlignment="1"/>
    <xf numFmtId="3" fontId="6" fillId="4" borderId="19" xfId="0" applyNumberFormat="1" applyFont="1" applyFill="1" applyBorder="1" applyAlignment="1"/>
    <xf numFmtId="0" fontId="78" fillId="0" borderId="0" xfId="0" applyFont="1"/>
    <xf numFmtId="0" fontId="5" fillId="2" borderId="3" xfId="0" applyFont="1" applyFill="1" applyBorder="1" applyAlignment="1">
      <alignment horizontal="center" vertical="center" wrapText="1"/>
    </xf>
    <xf numFmtId="3" fontId="4" fillId="4" borderId="0" xfId="0" applyNumberFormat="1" applyFont="1" applyFill="1" applyBorder="1"/>
    <xf numFmtId="3" fontId="5" fillId="4" borderId="0" xfId="0" applyNumberFormat="1" applyFont="1" applyFill="1" applyBorder="1"/>
    <xf numFmtId="0" fontId="15" fillId="0" borderId="0" xfId="0" applyFont="1" applyFill="1" applyBorder="1"/>
    <xf numFmtId="10" fontId="65" fillId="0" borderId="0" xfId="84" applyNumberFormat="1" applyFont="1" applyFill="1" applyBorder="1"/>
    <xf numFmtId="0" fontId="15" fillId="0" borderId="0" xfId="0" applyFont="1" applyBorder="1"/>
    <xf numFmtId="0" fontId="4" fillId="4" borderId="0" xfId="0" applyFont="1" applyFill="1" applyBorder="1" applyAlignment="1">
      <alignment horizontal="left" vertical="center" wrapText="1" indent="1"/>
    </xf>
    <xf numFmtId="173" fontId="61" fillId="24" borderId="4" xfId="86" applyNumberFormat="1" applyFont="1" applyFill="1" applyBorder="1"/>
    <xf numFmtId="173" fontId="65" fillId="0" borderId="0" xfId="0" applyNumberFormat="1" applyFont="1" applyBorder="1"/>
    <xf numFmtId="173" fontId="65" fillId="0" borderId="0" xfId="86" applyNumberFormat="1" applyFont="1" applyBorder="1"/>
    <xf numFmtId="173" fontId="61" fillId="24" borderId="4" xfId="0" applyNumberFormat="1" applyFont="1" applyFill="1" applyBorder="1"/>
    <xf numFmtId="170" fontId="65" fillId="0" borderId="0" xfId="0" applyNumberFormat="1" applyFont="1" applyBorder="1" applyAlignment="1">
      <alignment horizontal="center"/>
    </xf>
    <xf numFmtId="9" fontId="4" fillId="0" borderId="0" xfId="0" applyNumberFormat="1" applyFont="1" applyFill="1" applyBorder="1" applyAlignment="1">
      <alignment horizontal="center" vertical="center" wrapText="1"/>
    </xf>
    <xf numFmtId="0" fontId="80" fillId="0" borderId="0" xfId="0" applyFont="1" applyFill="1"/>
    <xf numFmtId="0" fontId="18" fillId="2" borderId="41" xfId="0" applyFont="1" applyFill="1" applyBorder="1" applyAlignment="1">
      <alignment horizontal="centerContinuous"/>
    </xf>
    <xf numFmtId="170" fontId="29" fillId="0" borderId="0" xfId="84" applyNumberFormat="1" applyFont="1" applyFill="1"/>
    <xf numFmtId="0" fontId="29" fillId="0" borderId="0" xfId="0" applyFont="1" applyFill="1"/>
    <xf numFmtId="0" fontId="18" fillId="0" borderId="0" xfId="0" applyFont="1" applyFill="1" applyBorder="1" applyAlignment="1">
      <alignment vertical="center"/>
    </xf>
    <xf numFmtId="0" fontId="65" fillId="0" borderId="0" xfId="0" applyFont="1" applyAlignment="1"/>
    <xf numFmtId="170" fontId="6" fillId="4" borderId="54" xfId="84" applyNumberFormat="1" applyFont="1" applyFill="1" applyBorder="1" applyAlignment="1">
      <alignment horizontal="center"/>
    </xf>
    <xf numFmtId="0" fontId="18" fillId="2" borderId="71"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18" fillId="2" borderId="65" xfId="0" applyFont="1" applyFill="1" applyBorder="1" applyAlignment="1">
      <alignment horizontal="center" vertical="center" wrapText="1"/>
    </xf>
    <xf numFmtId="0" fontId="4" fillId="0" borderId="16" xfId="0" applyFont="1" applyBorder="1"/>
    <xf numFmtId="3" fontId="4" fillId="0" borderId="27" xfId="0" applyNumberFormat="1" applyFont="1" applyFill="1" applyBorder="1"/>
    <xf numFmtId="3" fontId="4" fillId="0" borderId="27" xfId="0" applyNumberFormat="1" applyFont="1" applyBorder="1"/>
    <xf numFmtId="3" fontId="4" fillId="0" borderId="25" xfId="0" applyNumberFormat="1" applyFont="1" applyFill="1" applyBorder="1"/>
    <xf numFmtId="3" fontId="4" fillId="0" borderId="25" xfId="0" applyNumberFormat="1" applyFont="1" applyBorder="1"/>
    <xf numFmtId="3" fontId="4" fillId="0" borderId="26" xfId="0" applyNumberFormat="1" applyFont="1" applyFill="1" applyBorder="1"/>
    <xf numFmtId="3" fontId="4" fillId="0" borderId="26" xfId="0" applyNumberFormat="1" applyFont="1" applyBorder="1"/>
    <xf numFmtId="0" fontId="16" fillId="0" borderId="0" xfId="0" applyFont="1"/>
    <xf numFmtId="170" fontId="78" fillId="0" borderId="0" xfId="84" applyNumberFormat="1" applyFont="1"/>
    <xf numFmtId="0" fontId="15" fillId="24" borderId="71" xfId="0" applyFont="1" applyFill="1" applyBorder="1"/>
    <xf numFmtId="170" fontId="15" fillId="24" borderId="54" xfId="84" applyNumberFormat="1" applyFont="1" applyFill="1" applyBorder="1"/>
    <xf numFmtId="0" fontId="18" fillId="0" borderId="0" xfId="0" applyFont="1"/>
    <xf numFmtId="170" fontId="16" fillId="24" borderId="14" xfId="84" applyNumberFormat="1" applyFont="1" applyFill="1" applyBorder="1" applyAlignment="1">
      <alignment horizontal="right"/>
    </xf>
    <xf numFmtId="0" fontId="16" fillId="24" borderId="12" xfId="0" applyFont="1" applyFill="1" applyBorder="1" applyAlignment="1">
      <alignment horizontal="left" indent="2"/>
    </xf>
    <xf numFmtId="3" fontId="6" fillId="4" borderId="21" xfId="0" applyNumberFormat="1" applyFont="1" applyFill="1" applyBorder="1" applyAlignment="1"/>
    <xf numFmtId="3" fontId="6" fillId="4" borderId="23" xfId="0" applyNumberFormat="1" applyFont="1" applyFill="1" applyBorder="1" applyAlignment="1"/>
    <xf numFmtId="0" fontId="4" fillId="0" borderId="0" xfId="0" applyFont="1" applyFill="1" applyAlignment="1">
      <alignment horizontal="left" vertical="center" wrapText="1"/>
    </xf>
    <xf numFmtId="0" fontId="16" fillId="24" borderId="28" xfId="0" applyFont="1" applyFill="1" applyBorder="1" applyAlignment="1">
      <alignment horizontal="center" vertical="center" wrapText="1"/>
    </xf>
    <xf numFmtId="3" fontId="16" fillId="24" borderId="29" xfId="0" applyNumberFormat="1" applyFont="1" applyFill="1" applyBorder="1" applyAlignment="1">
      <alignment horizontal="center"/>
    </xf>
    <xf numFmtId="3" fontId="16" fillId="24" borderId="30" xfId="0" applyNumberFormat="1" applyFont="1" applyFill="1" applyBorder="1" applyAlignment="1">
      <alignment horizontal="center"/>
    </xf>
    <xf numFmtId="9" fontId="16" fillId="24" borderId="30" xfId="84" applyFont="1" applyFill="1" applyBorder="1" applyAlignment="1">
      <alignment horizontal="center"/>
    </xf>
    <xf numFmtId="3" fontId="16" fillId="24" borderId="31" xfId="0" applyNumberFormat="1" applyFont="1" applyFill="1" applyBorder="1" applyAlignment="1">
      <alignment horizontal="center"/>
    </xf>
    <xf numFmtId="3" fontId="5" fillId="0" borderId="0" xfId="0" applyNumberFormat="1" applyFont="1" applyFill="1" applyBorder="1"/>
    <xf numFmtId="3" fontId="5" fillId="2" borderId="4" xfId="0" applyNumberFormat="1" applyFont="1" applyFill="1" applyBorder="1" applyAlignment="1">
      <alignment horizontal="center" vertical="center" wrapText="1"/>
    </xf>
    <xf numFmtId="3" fontId="5" fillId="2" borderId="1" xfId="0" applyNumberFormat="1" applyFont="1" applyFill="1" applyBorder="1" applyAlignment="1">
      <alignment horizontal="center" vertical="center" wrapText="1"/>
    </xf>
    <xf numFmtId="3" fontId="5" fillId="2" borderId="3" xfId="0" applyNumberFormat="1" applyFont="1" applyFill="1" applyBorder="1" applyAlignment="1">
      <alignment horizontal="center" vertical="center" wrapText="1"/>
    </xf>
    <xf numFmtId="0" fontId="0" fillId="0" borderId="89" xfId="0" applyBorder="1"/>
    <xf numFmtId="3" fontId="4" fillId="0" borderId="90" xfId="0" applyNumberFormat="1" applyFont="1" applyFill="1" applyBorder="1" applyAlignment="1">
      <alignment horizontal="center"/>
    </xf>
    <xf numFmtId="9" fontId="16" fillId="0" borderId="89" xfId="84" applyFont="1" applyFill="1" applyBorder="1" applyAlignment="1">
      <alignment horizontal="center"/>
    </xf>
    <xf numFmtId="3" fontId="4" fillId="0" borderId="91" xfId="0" applyNumberFormat="1" applyFont="1" applyFill="1" applyBorder="1" applyAlignment="1">
      <alignment horizontal="center"/>
    </xf>
    <xf numFmtId="0" fontId="0" fillId="0" borderId="64" xfId="0" applyBorder="1"/>
    <xf numFmtId="3" fontId="4" fillId="0" borderId="92" xfId="0" applyNumberFormat="1" applyFont="1" applyFill="1" applyBorder="1" applyAlignment="1">
      <alignment horizontal="center"/>
    </xf>
    <xf numFmtId="9" fontId="16" fillId="0" borderId="64" xfId="84" applyFont="1" applyFill="1" applyBorder="1" applyAlignment="1">
      <alignment horizontal="center"/>
    </xf>
    <xf numFmtId="3" fontId="4" fillId="0" borderId="93" xfId="0" applyNumberFormat="1" applyFont="1" applyFill="1" applyBorder="1" applyAlignment="1">
      <alignment horizontal="center"/>
    </xf>
    <xf numFmtId="0" fontId="0" fillId="0" borderId="94" xfId="0" applyBorder="1"/>
    <xf numFmtId="3" fontId="4" fillId="0" borderId="95" xfId="0" applyNumberFormat="1" applyFont="1" applyFill="1" applyBorder="1" applyAlignment="1">
      <alignment horizontal="center"/>
    </xf>
    <xf numFmtId="9" fontId="16" fillId="0" borderId="94" xfId="84" applyFont="1" applyFill="1" applyBorder="1" applyAlignment="1">
      <alignment horizontal="center"/>
    </xf>
    <xf numFmtId="3" fontId="4" fillId="0" borderId="96" xfId="0" applyNumberFormat="1" applyFont="1" applyFill="1" applyBorder="1" applyAlignment="1">
      <alignment horizontal="center"/>
    </xf>
    <xf numFmtId="0" fontId="0" fillId="0" borderId="86" xfId="0" applyBorder="1"/>
    <xf numFmtId="3" fontId="5" fillId="0" borderId="1" xfId="0" applyNumberFormat="1" applyFont="1" applyFill="1" applyBorder="1" applyAlignment="1">
      <alignment horizontal="center"/>
    </xf>
    <xf numFmtId="9" fontId="16" fillId="0" borderId="4" xfId="84" applyFont="1" applyFill="1" applyBorder="1" applyAlignment="1">
      <alignment horizontal="center"/>
    </xf>
    <xf numFmtId="3" fontId="5" fillId="0" borderId="3" xfId="0" applyNumberFormat="1" applyFont="1" applyFill="1" applyBorder="1" applyAlignment="1">
      <alignment horizontal="center"/>
    </xf>
    <xf numFmtId="3" fontId="14" fillId="2" borderId="4" xfId="0" applyNumberFormat="1" applyFont="1" applyFill="1" applyBorder="1" applyAlignment="1">
      <alignment horizontal="center"/>
    </xf>
    <xf numFmtId="4" fontId="14" fillId="2" borderId="3" xfId="0" applyNumberFormat="1" applyFont="1" applyFill="1" applyBorder="1" applyAlignment="1">
      <alignment horizontal="center"/>
    </xf>
    <xf numFmtId="0" fontId="18" fillId="0" borderId="0" xfId="0" applyFont="1" applyFill="1" applyAlignment="1">
      <alignment vertical="center" wrapText="1"/>
    </xf>
    <xf numFmtId="0" fontId="18" fillId="2" borderId="1"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0" borderId="0" xfId="0" applyFont="1" applyFill="1" applyBorder="1" applyAlignment="1">
      <alignment horizontal="left" vertical="center" wrapText="1"/>
    </xf>
    <xf numFmtId="0" fontId="18" fillId="24" borderId="6" xfId="0" applyFont="1" applyFill="1" applyBorder="1" applyAlignment="1">
      <alignment horizontal="center" vertical="center" wrapText="1"/>
    </xf>
    <xf numFmtId="3" fontId="6" fillId="24" borderId="10" xfId="0" applyNumberFormat="1" applyFont="1" applyFill="1" applyBorder="1" applyAlignment="1">
      <alignment horizontal="center"/>
    </xf>
    <xf numFmtId="3" fontId="6" fillId="24" borderId="14" xfId="0" applyNumberFormat="1" applyFont="1" applyFill="1" applyBorder="1" applyAlignment="1">
      <alignment horizontal="center"/>
    </xf>
    <xf numFmtId="3" fontId="6" fillId="24" borderId="18" xfId="0" applyNumberFormat="1" applyFont="1" applyFill="1" applyBorder="1" applyAlignment="1">
      <alignment horizontal="center"/>
    </xf>
    <xf numFmtId="2" fontId="6" fillId="4" borderId="8" xfId="0" applyNumberFormat="1" applyFont="1" applyFill="1" applyBorder="1" applyAlignment="1">
      <alignment horizontal="left" indent="1"/>
    </xf>
    <xf numFmtId="2" fontId="6" fillId="4" borderId="12" xfId="0" applyNumberFormat="1" applyFont="1" applyFill="1" applyBorder="1" applyAlignment="1">
      <alignment horizontal="left" indent="1"/>
    </xf>
    <xf numFmtId="2" fontId="6" fillId="4" borderId="16" xfId="0" applyNumberFormat="1" applyFont="1" applyFill="1" applyBorder="1" applyAlignment="1">
      <alignment horizontal="left" indent="1"/>
    </xf>
    <xf numFmtId="0" fontId="18" fillId="2" borderId="2" xfId="0" applyFont="1" applyFill="1" applyBorder="1" applyAlignment="1">
      <alignment horizontal="center" vertical="center"/>
    </xf>
    <xf numFmtId="3" fontId="65" fillId="0" borderId="8" xfId="0" applyNumberFormat="1" applyFont="1" applyBorder="1" applyAlignment="1">
      <alignment horizontal="center"/>
    </xf>
    <xf numFmtId="3" fontId="65" fillId="0" borderId="21" xfId="0" applyNumberFormat="1" applyFont="1" applyBorder="1" applyAlignment="1">
      <alignment horizontal="center"/>
    </xf>
    <xf numFmtId="0" fontId="15" fillId="0" borderId="8" xfId="0" applyFont="1" applyBorder="1" applyAlignment="1">
      <alignment horizontal="center"/>
    </xf>
    <xf numFmtId="170" fontId="65" fillId="0" borderId="87" xfId="84" applyNumberFormat="1" applyFont="1" applyBorder="1" applyAlignment="1">
      <alignment horizontal="center"/>
    </xf>
    <xf numFmtId="3" fontId="65" fillId="0" borderId="12" xfId="0" applyNumberFormat="1" applyFont="1" applyBorder="1" applyAlignment="1">
      <alignment horizontal="center"/>
    </xf>
    <xf numFmtId="3" fontId="65" fillId="0" borderId="22" xfId="0" applyNumberFormat="1" applyFont="1" applyBorder="1" applyAlignment="1">
      <alignment horizontal="center"/>
    </xf>
    <xf numFmtId="0" fontId="15" fillId="0" borderId="12" xfId="0" applyFont="1" applyBorder="1" applyAlignment="1">
      <alignment horizontal="center"/>
    </xf>
    <xf numFmtId="170" fontId="65" fillId="0" borderId="53" xfId="84" applyNumberFormat="1" applyFont="1" applyBorder="1" applyAlignment="1">
      <alignment horizontal="center"/>
    </xf>
    <xf numFmtId="3" fontId="65" fillId="0" borderId="16" xfId="0" applyNumberFormat="1" applyFont="1" applyBorder="1" applyAlignment="1">
      <alignment horizontal="center"/>
    </xf>
    <xf numFmtId="3" fontId="65" fillId="0" borderId="23" xfId="0" applyNumberFormat="1" applyFont="1" applyBorder="1" applyAlignment="1">
      <alignment horizontal="center"/>
    </xf>
    <xf numFmtId="0" fontId="15" fillId="0" borderId="16" xfId="0" applyFont="1" applyBorder="1" applyAlignment="1">
      <alignment horizontal="center"/>
    </xf>
    <xf numFmtId="170" fontId="65" fillId="0" borderId="61" xfId="84" applyNumberFormat="1" applyFont="1" applyBorder="1" applyAlignment="1">
      <alignment horizontal="center"/>
    </xf>
    <xf numFmtId="3" fontId="65" fillId="2" borderId="4" xfId="0" applyNumberFormat="1" applyFont="1" applyFill="1" applyBorder="1" applyAlignment="1">
      <alignment horizontal="center" vertical="center"/>
    </xf>
    <xf numFmtId="0" fontId="15" fillId="0" borderId="29" xfId="0" applyFont="1" applyFill="1" applyBorder="1" applyAlignment="1">
      <alignment horizontal="center"/>
    </xf>
    <xf numFmtId="0" fontId="15" fillId="0" borderId="30" xfId="0" applyFont="1" applyFill="1" applyBorder="1" applyAlignment="1">
      <alignment horizontal="center"/>
    </xf>
    <xf numFmtId="0" fontId="6" fillId="0" borderId="8" xfId="0" applyFont="1" applyFill="1" applyBorder="1" applyAlignment="1">
      <alignment horizontal="left" indent="1"/>
    </xf>
    <xf numFmtId="3" fontId="6" fillId="0" borderId="9" xfId="0" applyNumberFormat="1" applyFont="1" applyFill="1" applyBorder="1" applyAlignment="1">
      <alignment horizontal="center"/>
    </xf>
    <xf numFmtId="3" fontId="6" fillId="0" borderId="10" xfId="0" applyNumberFormat="1" applyFont="1" applyFill="1" applyBorder="1" applyAlignment="1">
      <alignment horizontal="center"/>
    </xf>
    <xf numFmtId="3" fontId="6" fillId="0" borderId="11" xfId="0" applyNumberFormat="1" applyFont="1" applyFill="1" applyBorder="1" applyAlignment="1">
      <alignment horizontal="center"/>
    </xf>
    <xf numFmtId="0" fontId="6" fillId="0" borderId="12" xfId="0" applyFont="1" applyFill="1" applyBorder="1" applyAlignment="1">
      <alignment horizontal="left" indent="1"/>
    </xf>
    <xf numFmtId="170" fontId="65" fillId="0" borderId="13" xfId="84" applyNumberFormat="1" applyFont="1" applyFill="1" applyBorder="1" applyAlignment="1">
      <alignment horizontal="center"/>
    </xf>
    <xf numFmtId="9" fontId="6" fillId="0" borderId="57" xfId="84" applyFont="1" applyFill="1" applyBorder="1" applyAlignment="1">
      <alignment horizontal="center"/>
    </xf>
    <xf numFmtId="9" fontId="6" fillId="0" borderId="65" xfId="84" applyFont="1" applyFill="1" applyBorder="1" applyAlignment="1">
      <alignment horizontal="center"/>
    </xf>
    <xf numFmtId="3" fontId="6" fillId="0" borderId="54" xfId="0" applyNumberFormat="1" applyFont="1" applyFill="1" applyBorder="1" applyAlignment="1">
      <alignment horizontal="center"/>
    </xf>
    <xf numFmtId="0" fontId="6" fillId="0" borderId="16" xfId="0" applyFont="1" applyFill="1" applyBorder="1" applyAlignment="1">
      <alignment horizontal="left" indent="1"/>
    </xf>
    <xf numFmtId="3" fontId="6" fillId="0" borderId="17" xfId="0" applyNumberFormat="1" applyFont="1" applyFill="1" applyBorder="1" applyAlignment="1">
      <alignment horizontal="center"/>
    </xf>
    <xf numFmtId="3" fontId="6" fillId="0" borderId="18" xfId="0" applyNumberFormat="1" applyFont="1" applyFill="1" applyBorder="1" applyAlignment="1">
      <alignment horizontal="center"/>
    </xf>
    <xf numFmtId="3" fontId="6" fillId="0" borderId="19" xfId="0" applyNumberFormat="1" applyFont="1" applyFill="1" applyBorder="1" applyAlignment="1">
      <alignment horizontal="center"/>
    </xf>
    <xf numFmtId="0" fontId="0" fillId="4" borderId="40" xfId="0" applyFill="1" applyBorder="1" applyAlignment="1">
      <alignment horizontal="center"/>
    </xf>
    <xf numFmtId="10" fontId="0" fillId="4" borderId="40" xfId="84" applyNumberFormat="1" applyFont="1" applyFill="1" applyBorder="1" applyAlignment="1">
      <alignment horizontal="center"/>
    </xf>
    <xf numFmtId="9" fontId="0" fillId="4" borderId="40" xfId="0" applyNumberFormat="1" applyFill="1" applyBorder="1" applyAlignment="1">
      <alignment horizontal="center"/>
    </xf>
    <xf numFmtId="0" fontId="0" fillId="4" borderId="54" xfId="0" applyFill="1" applyBorder="1" applyAlignment="1">
      <alignment horizontal="center"/>
    </xf>
    <xf numFmtId="10" fontId="0" fillId="4" borderId="54" xfId="84" applyNumberFormat="1" applyFont="1" applyFill="1" applyBorder="1" applyAlignment="1">
      <alignment horizontal="center"/>
    </xf>
    <xf numFmtId="9" fontId="0" fillId="4" borderId="54" xfId="0" applyNumberFormat="1" applyFill="1" applyBorder="1" applyAlignment="1">
      <alignment horizontal="center"/>
    </xf>
    <xf numFmtId="0" fontId="0" fillId="4" borderId="35" xfId="0" applyFill="1" applyBorder="1" applyAlignment="1">
      <alignment horizontal="center"/>
    </xf>
    <xf numFmtId="10" fontId="0" fillId="4" borderId="35" xfId="84" applyNumberFormat="1" applyFont="1" applyFill="1" applyBorder="1" applyAlignment="1">
      <alignment horizontal="center"/>
    </xf>
    <xf numFmtId="9" fontId="0" fillId="4" borderId="35" xfId="0" applyNumberFormat="1" applyFill="1" applyBorder="1" applyAlignment="1">
      <alignment horizontal="center"/>
    </xf>
    <xf numFmtId="0" fontId="5" fillId="2" borderId="3" xfId="0" applyFont="1" applyFill="1" applyBorder="1" applyAlignment="1">
      <alignment horizontal="center" vertical="center" wrapText="1"/>
    </xf>
    <xf numFmtId="0" fontId="4" fillId="4" borderId="58" xfId="0" applyFont="1" applyFill="1" applyBorder="1" applyAlignment="1">
      <alignment horizontal="left" vertical="center" wrapText="1" indent="1"/>
    </xf>
    <xf numFmtId="0" fontId="4" fillId="4" borderId="60" xfId="0" applyFont="1" applyFill="1" applyBorder="1" applyAlignment="1">
      <alignment horizontal="left" vertical="center" wrapText="1" indent="1"/>
    </xf>
    <xf numFmtId="0" fontId="4" fillId="0" borderId="12" xfId="0" applyFont="1" applyFill="1" applyBorder="1" applyAlignment="1">
      <alignment horizontal="left" vertical="center" indent="1"/>
    </xf>
    <xf numFmtId="0" fontId="6" fillId="0" borderId="8" xfId="0" applyFont="1" applyFill="1" applyBorder="1"/>
    <xf numFmtId="0" fontId="14" fillId="27" borderId="4" xfId="0" applyFont="1" applyFill="1" applyBorder="1" applyAlignment="1">
      <alignment horizontal="center" vertical="center" wrapText="1"/>
    </xf>
    <xf numFmtId="9" fontId="65" fillId="0" borderId="12" xfId="84" applyFont="1" applyBorder="1" applyAlignment="1">
      <alignment horizontal="right"/>
    </xf>
    <xf numFmtId="43" fontId="82" fillId="28" borderId="1" xfId="86" applyFont="1" applyFill="1" applyBorder="1"/>
    <xf numFmtId="0" fontId="83" fillId="28" borderId="2" xfId="0" applyFont="1" applyFill="1" applyBorder="1"/>
    <xf numFmtId="0" fontId="83" fillId="28" borderId="3" xfId="0" applyFont="1" applyFill="1" applyBorder="1"/>
    <xf numFmtId="0" fontId="5" fillId="2" borderId="1" xfId="0" applyFont="1" applyFill="1" applyBorder="1" applyAlignment="1">
      <alignment vertical="center"/>
    </xf>
    <xf numFmtId="0" fontId="4" fillId="4" borderId="58" xfId="0" applyFont="1" applyFill="1" applyBorder="1" applyAlignment="1">
      <alignment horizontal="left" vertical="center" indent="1"/>
    </xf>
    <xf numFmtId="9" fontId="4" fillId="2" borderId="8" xfId="0" applyNumberFormat="1" applyFont="1" applyFill="1" applyBorder="1" applyAlignment="1">
      <alignment horizontal="center" vertical="center" wrapText="1"/>
    </xf>
    <xf numFmtId="0" fontId="4" fillId="4" borderId="60" xfId="0" applyFont="1" applyFill="1" applyBorder="1" applyAlignment="1">
      <alignment horizontal="left" vertical="center" indent="1"/>
    </xf>
    <xf numFmtId="9" fontId="4" fillId="2" borderId="16" xfId="0" applyNumberFormat="1" applyFont="1" applyFill="1" applyBorder="1" applyAlignment="1">
      <alignment horizontal="center" vertical="center" wrapText="1"/>
    </xf>
    <xf numFmtId="0" fontId="26" fillId="0" borderId="0" xfId="0" applyFont="1" applyFill="1" applyBorder="1"/>
    <xf numFmtId="10" fontId="29" fillId="0" borderId="0" xfId="84" applyNumberFormat="1" applyFont="1" applyFill="1" applyBorder="1"/>
    <xf numFmtId="3" fontId="4" fillId="4" borderId="30" xfId="0" applyNumberFormat="1" applyFont="1" applyFill="1" applyBorder="1" applyAlignment="1"/>
    <xf numFmtId="3" fontId="16" fillId="0" borderId="30" xfId="0" applyNumberFormat="1" applyFont="1" applyFill="1" applyBorder="1" applyAlignment="1"/>
    <xf numFmtId="2" fontId="65" fillId="0" borderId="0" xfId="0" applyNumberFormat="1" applyFont="1" applyBorder="1"/>
    <xf numFmtId="43" fontId="0" fillId="0" borderId="0" xfId="0" applyNumberFormat="1" applyFill="1"/>
    <xf numFmtId="10" fontId="0" fillId="0" borderId="0" xfId="84" applyNumberFormat="1" applyFont="1" applyFill="1"/>
    <xf numFmtId="0" fontId="82" fillId="0" borderId="0" xfId="0" applyFont="1" applyBorder="1"/>
    <xf numFmtId="41" fontId="65" fillId="0" borderId="0" xfId="0" applyNumberFormat="1" applyFont="1" applyBorder="1"/>
    <xf numFmtId="41" fontId="65" fillId="0" borderId="0" xfId="86" applyNumberFormat="1" applyFont="1" applyBorder="1"/>
    <xf numFmtId="170" fontId="5" fillId="0" borderId="14" xfId="84" applyNumberFormat="1" applyFont="1" applyFill="1" applyBorder="1" applyAlignment="1">
      <alignment horizontal="center"/>
    </xf>
    <xf numFmtId="0" fontId="5" fillId="26" borderId="4" xfId="0" applyFont="1" applyFill="1" applyBorder="1" applyAlignment="1">
      <alignment vertical="center"/>
    </xf>
    <xf numFmtId="0" fontId="5" fillId="26" borderId="4" xfId="0" applyFont="1" applyFill="1" applyBorder="1" applyAlignment="1">
      <alignment horizontal="left" vertical="center" wrapText="1"/>
    </xf>
    <xf numFmtId="0" fontId="5" fillId="26" borderId="5" xfId="0" applyFont="1" applyFill="1" applyBorder="1" applyAlignment="1">
      <alignment horizontal="center" vertical="center" wrapText="1"/>
    </xf>
    <xf numFmtId="0" fontId="5" fillId="26" borderId="6" xfId="0" applyFont="1" applyFill="1" applyBorder="1" applyAlignment="1">
      <alignment horizontal="center" vertical="center" wrapText="1"/>
    </xf>
    <xf numFmtId="0" fontId="5" fillId="26" borderId="97" xfId="0" applyFont="1" applyFill="1" applyBorder="1" applyAlignment="1">
      <alignment horizontal="center" vertical="center"/>
    </xf>
    <xf numFmtId="0" fontId="5" fillId="26" borderId="7" xfId="0" applyFont="1" applyFill="1" applyBorder="1" applyAlignment="1">
      <alignment horizontal="center" vertical="center"/>
    </xf>
    <xf numFmtId="173" fontId="4" fillId="0" borderId="0" xfId="0" applyNumberFormat="1" applyFont="1"/>
    <xf numFmtId="0" fontId="5" fillId="26" borderId="4" xfId="0" applyFont="1" applyFill="1" applyBorder="1" applyAlignment="1">
      <alignment horizontal="center"/>
    </xf>
    <xf numFmtId="0" fontId="84" fillId="26" borderId="4" xfId="0" applyFont="1" applyFill="1" applyBorder="1" applyAlignment="1">
      <alignment horizontal="center"/>
    </xf>
    <xf numFmtId="0" fontId="5" fillId="0" borderId="0" xfId="0" quotePrefix="1" applyFont="1"/>
    <xf numFmtId="0" fontId="86" fillId="26" borderId="5" xfId="0" applyFont="1" applyFill="1" applyBorder="1" applyAlignment="1">
      <alignment horizontal="center"/>
    </xf>
    <xf numFmtId="0" fontId="4" fillId="26" borderId="5" xfId="0" applyFont="1" applyFill="1" applyBorder="1" applyAlignment="1">
      <alignment horizontal="center"/>
    </xf>
    <xf numFmtId="0" fontId="4" fillId="26" borderId="7" xfId="0" applyFont="1" applyFill="1" applyBorder="1" applyAlignment="1">
      <alignment horizontal="center"/>
    </xf>
    <xf numFmtId="0" fontId="4" fillId="0" borderId="45" xfId="0" applyFont="1" applyBorder="1"/>
    <xf numFmtId="0" fontId="4" fillId="0" borderId="47" xfId="0" applyFont="1" applyBorder="1"/>
    <xf numFmtId="0" fontId="4" fillId="0" borderId="17" xfId="0" applyFont="1" applyBorder="1"/>
    <xf numFmtId="0" fontId="4" fillId="0" borderId="19" xfId="0" applyFont="1" applyBorder="1"/>
    <xf numFmtId="9" fontId="4" fillId="0" borderId="45" xfId="0" applyNumberFormat="1" applyFont="1" applyBorder="1" applyAlignment="1">
      <alignment horizontal="center"/>
    </xf>
    <xf numFmtId="9" fontId="4" fillId="0" borderId="47" xfId="0" applyNumberFormat="1" applyFont="1" applyBorder="1" applyAlignment="1">
      <alignment horizontal="center"/>
    </xf>
    <xf numFmtId="9" fontId="4" fillId="0" borderId="17" xfId="0" applyNumberFormat="1" applyFont="1" applyBorder="1" applyAlignment="1">
      <alignment horizontal="center"/>
    </xf>
    <xf numFmtId="9" fontId="4" fillId="0" borderId="19" xfId="0" applyNumberFormat="1" applyFont="1" applyBorder="1" applyAlignment="1">
      <alignment horizontal="center"/>
    </xf>
    <xf numFmtId="0" fontId="4" fillId="0" borderId="0" xfId="0" applyFont="1" applyBorder="1"/>
    <xf numFmtId="9" fontId="4" fillId="0" borderId="0" xfId="0" applyNumberFormat="1" applyFont="1" applyBorder="1" applyAlignment="1">
      <alignment horizontal="center"/>
    </xf>
    <xf numFmtId="0" fontId="26" fillId="0" borderId="12" xfId="0" applyFont="1" applyBorder="1" applyAlignment="1">
      <alignment horizontal="left" indent="1"/>
    </xf>
    <xf numFmtId="173" fontId="26" fillId="0" borderId="45" xfId="86" applyNumberFormat="1" applyFont="1" applyBorder="1"/>
    <xf numFmtId="0" fontId="26" fillId="0" borderId="14" xfId="0" applyFont="1" applyBorder="1"/>
    <xf numFmtId="186" fontId="26" fillId="0" borderId="98" xfId="0" applyNumberFormat="1" applyFont="1" applyBorder="1"/>
    <xf numFmtId="0" fontId="26" fillId="0" borderId="16" xfId="0" applyFont="1" applyBorder="1" applyAlignment="1">
      <alignment horizontal="left" indent="1"/>
    </xf>
    <xf numFmtId="173" fontId="26" fillId="0" borderId="17" xfId="86" applyNumberFormat="1" applyFont="1" applyBorder="1"/>
    <xf numFmtId="0" fontId="26" fillId="0" borderId="18" xfId="0" applyFont="1" applyBorder="1"/>
    <xf numFmtId="186" fontId="26" fillId="0" borderId="19" xfId="0" applyNumberFormat="1" applyFont="1" applyBorder="1"/>
    <xf numFmtId="0" fontId="26" fillId="0" borderId="4" xfId="0" applyFont="1" applyBorder="1"/>
    <xf numFmtId="173" fontId="26" fillId="0" borderId="4" xfId="86" applyNumberFormat="1" applyFont="1" applyBorder="1" applyAlignment="1">
      <alignment horizontal="center"/>
    </xf>
    <xf numFmtId="188" fontId="26" fillId="0" borderId="4" xfId="86" applyNumberFormat="1" applyFont="1" applyBorder="1" applyAlignment="1">
      <alignment horizontal="center"/>
    </xf>
    <xf numFmtId="173" fontId="16" fillId="0" borderId="99" xfId="86" applyNumberFormat="1" applyFont="1" applyBorder="1"/>
    <xf numFmtId="0" fontId="18" fillId="0" borderId="0" xfId="0" applyFont="1" applyFill="1" applyAlignment="1">
      <alignment vertical="center" wrapText="1"/>
    </xf>
    <xf numFmtId="0" fontId="75" fillId="0" borderId="8" xfId="0" applyFont="1" applyBorder="1"/>
    <xf numFmtId="0" fontId="75" fillId="0" borderId="12" xfId="0" applyFont="1" applyBorder="1" applyAlignment="1">
      <alignment vertical="center" wrapText="1"/>
    </xf>
    <xf numFmtId="3" fontId="0" fillId="0" borderId="12" xfId="0" applyNumberFormat="1" applyBorder="1" applyAlignment="1">
      <alignment vertical="center"/>
    </xf>
    <xf numFmtId="0" fontId="70" fillId="0" borderId="16" xfId="0" applyFont="1" applyBorder="1"/>
    <xf numFmtId="0" fontId="75" fillId="4" borderId="58" xfId="0" applyFont="1" applyFill="1" applyBorder="1"/>
    <xf numFmtId="0" fontId="75" fillId="0" borderId="59" xfId="0" applyFont="1" applyFill="1" applyBorder="1"/>
    <xf numFmtId="170" fontId="1" fillId="0" borderId="12" xfId="84" applyNumberFormat="1" applyFont="1" applyFill="1" applyBorder="1"/>
    <xf numFmtId="0" fontId="75" fillId="4" borderId="60" xfId="0" applyFont="1" applyFill="1" applyBorder="1"/>
    <xf numFmtId="3" fontId="75" fillId="0" borderId="8" xfId="0" applyNumberFormat="1" applyFont="1" applyBorder="1" applyAlignment="1">
      <alignment horizontal="center"/>
    </xf>
    <xf numFmtId="4" fontId="75" fillId="0" borderId="8" xfId="0" applyNumberFormat="1" applyFont="1" applyBorder="1" applyAlignment="1">
      <alignment horizontal="center"/>
    </xf>
    <xf numFmtId="0" fontId="70" fillId="2" borderId="12" xfId="0" applyFont="1" applyFill="1" applyBorder="1" applyAlignment="1">
      <alignment vertical="center" wrapText="1"/>
    </xf>
    <xf numFmtId="0" fontId="75" fillId="0" borderId="12" xfId="0" applyFont="1" applyFill="1" applyBorder="1" applyAlignment="1">
      <alignment horizontal="center" vertical="center"/>
    </xf>
    <xf numFmtId="3" fontId="75" fillId="0" borderId="12" xfId="0" applyNumberFormat="1" applyFont="1" applyBorder="1" applyAlignment="1">
      <alignment horizontal="center" vertical="center"/>
    </xf>
    <xf numFmtId="4" fontId="75" fillId="0" borderId="12" xfId="0" applyNumberFormat="1" applyFont="1" applyBorder="1" applyAlignment="1">
      <alignment horizontal="center" vertical="center"/>
    </xf>
    <xf numFmtId="0" fontId="70" fillId="2" borderId="16" xfId="0" applyFont="1" applyFill="1" applyBorder="1" applyAlignment="1">
      <alignment vertical="center" wrapText="1"/>
    </xf>
    <xf numFmtId="0" fontId="75" fillId="0" borderId="16" xfId="0" applyFont="1" applyFill="1" applyBorder="1" applyAlignment="1">
      <alignment horizontal="center" vertical="center"/>
    </xf>
    <xf numFmtId="3" fontId="0" fillId="4" borderId="8" xfId="0" applyNumberFormat="1" applyFont="1" applyFill="1" applyBorder="1"/>
    <xf numFmtId="3" fontId="16" fillId="4" borderId="42" xfId="0" applyNumberFormat="1" applyFont="1" applyFill="1" applyBorder="1" applyAlignment="1">
      <alignment horizontal="right"/>
    </xf>
    <xf numFmtId="170" fontId="26" fillId="24" borderId="13" xfId="84" applyNumberFormat="1" applyFont="1" applyFill="1" applyBorder="1" applyAlignment="1"/>
    <xf numFmtId="9" fontId="26" fillId="24" borderId="14" xfId="84" applyFont="1" applyFill="1" applyBorder="1" applyAlignment="1"/>
    <xf numFmtId="3" fontId="0" fillId="0" borderId="0" xfId="0" applyNumberFormat="1" applyBorder="1"/>
    <xf numFmtId="0" fontId="5" fillId="2" borderId="37" xfId="0" applyFont="1" applyFill="1" applyBorder="1" applyAlignment="1">
      <alignment horizontal="center" vertical="center" wrapText="1"/>
    </xf>
    <xf numFmtId="0" fontId="18" fillId="2" borderId="39" xfId="0" applyFont="1" applyFill="1" applyBorder="1" applyAlignment="1">
      <alignment horizontal="center" vertical="center" wrapText="1"/>
    </xf>
    <xf numFmtId="10" fontId="0" fillId="0" borderId="0" xfId="84" applyNumberFormat="1" applyFont="1" applyBorder="1"/>
    <xf numFmtId="0" fontId="5" fillId="0" borderId="0" xfId="0" applyFont="1" applyFill="1" applyAlignment="1">
      <alignment horizontal="left" vertical="center" wrapText="1"/>
    </xf>
    <xf numFmtId="3" fontId="4" fillId="0" borderId="25" xfId="0" applyNumberFormat="1" applyFont="1" applyBorder="1" applyAlignment="1">
      <alignment horizontal="right"/>
    </xf>
    <xf numFmtId="3" fontId="4" fillId="0" borderId="85" xfId="0" applyNumberFormat="1" applyFont="1" applyBorder="1"/>
    <xf numFmtId="3" fontId="4" fillId="0" borderId="9" xfId="0" applyNumberFormat="1" applyFont="1" applyBorder="1" applyAlignment="1">
      <alignment horizontal="center"/>
    </xf>
    <xf numFmtId="4" fontId="4" fillId="0" borderId="10" xfId="0" applyNumberFormat="1" applyFont="1" applyBorder="1" applyAlignment="1">
      <alignment horizontal="center"/>
    </xf>
    <xf numFmtId="4" fontId="4" fillId="0" borderId="11" xfId="0" applyNumberFormat="1" applyFont="1" applyBorder="1" applyAlignment="1">
      <alignment horizontal="center"/>
    </xf>
    <xf numFmtId="4" fontId="4" fillId="0" borderId="13" xfId="0" applyNumberFormat="1" applyFont="1" applyBorder="1" applyAlignment="1">
      <alignment horizontal="center"/>
    </xf>
    <xf numFmtId="3" fontId="4" fillId="0" borderId="14" xfId="0" applyNumberFormat="1" applyFont="1" applyBorder="1" applyAlignment="1">
      <alignment horizontal="center"/>
    </xf>
    <xf numFmtId="4" fontId="4" fillId="0" borderId="14" xfId="0" applyNumberFormat="1" applyFont="1" applyBorder="1" applyAlignment="1">
      <alignment horizontal="center"/>
    </xf>
    <xf numFmtId="4" fontId="4" fillId="0" borderId="15" xfId="0" applyNumberFormat="1" applyFont="1" applyBorder="1" applyAlignment="1">
      <alignment horizontal="center"/>
    </xf>
    <xf numFmtId="4" fontId="4" fillId="0" borderId="17" xfId="0" applyNumberFormat="1" applyFont="1" applyBorder="1" applyAlignment="1">
      <alignment horizontal="center"/>
    </xf>
    <xf numFmtId="4" fontId="4" fillId="0" borderId="18" xfId="0" applyNumberFormat="1" applyFont="1" applyBorder="1" applyAlignment="1">
      <alignment horizontal="center"/>
    </xf>
    <xf numFmtId="3" fontId="4" fillId="0" borderId="19" xfId="0" applyNumberFormat="1" applyFont="1" applyBorder="1" applyAlignment="1">
      <alignment horizontal="center"/>
    </xf>
    <xf numFmtId="3" fontId="4" fillId="0" borderId="5" xfId="0" applyNumberFormat="1" applyFont="1" applyBorder="1" applyAlignment="1">
      <alignment horizontal="center"/>
    </xf>
    <xf numFmtId="3" fontId="4" fillId="0" borderId="6" xfId="0" applyNumberFormat="1" applyFont="1" applyBorder="1" applyAlignment="1">
      <alignment horizontal="center"/>
    </xf>
    <xf numFmtId="3" fontId="4" fillId="0" borderId="7" xfId="0" applyNumberFormat="1" applyFont="1" applyBorder="1" applyAlignment="1">
      <alignment horizontal="center"/>
    </xf>
    <xf numFmtId="0" fontId="81" fillId="0" borderId="0" xfId="0" applyFont="1" applyFill="1" applyBorder="1"/>
    <xf numFmtId="0" fontId="4" fillId="4" borderId="59" xfId="0" applyFont="1" applyFill="1" applyBorder="1" applyAlignment="1">
      <alignment horizontal="left" vertical="center" wrapText="1" indent="1"/>
    </xf>
    <xf numFmtId="3" fontId="4" fillId="4" borderId="8" xfId="0" applyNumberFormat="1" applyFont="1" applyFill="1" applyBorder="1" applyAlignment="1">
      <alignment horizontal="right"/>
    </xf>
    <xf numFmtId="3" fontId="4" fillId="4" borderId="12" xfId="0" applyNumberFormat="1" applyFont="1" applyFill="1" applyBorder="1" applyAlignment="1">
      <alignment horizontal="right"/>
    </xf>
    <xf numFmtId="170" fontId="4" fillId="4" borderId="12" xfId="84" applyNumberFormat="1" applyFont="1" applyFill="1" applyBorder="1" applyAlignment="1">
      <alignment horizontal="right"/>
    </xf>
    <xf numFmtId="3" fontId="4" fillId="4" borderId="16" xfId="0" applyNumberFormat="1" applyFont="1" applyFill="1" applyBorder="1" applyAlignment="1">
      <alignment horizontal="right"/>
    </xf>
    <xf numFmtId="3" fontId="4" fillId="4" borderId="26" xfId="0" applyNumberFormat="1" applyFont="1" applyFill="1" applyBorder="1" applyAlignment="1">
      <alignment horizontal="right"/>
    </xf>
    <xf numFmtId="0" fontId="16" fillId="2" borderId="37" xfId="0" applyFont="1" applyFill="1" applyBorder="1" applyAlignment="1">
      <alignment horizontal="center" vertical="center" wrapText="1"/>
    </xf>
    <xf numFmtId="3" fontId="16" fillId="25" borderId="18" xfId="0" applyNumberFormat="1" applyFont="1" applyFill="1" applyBorder="1" applyAlignment="1">
      <alignment horizontal="right" vertical="center"/>
    </xf>
    <xf numFmtId="0" fontId="16" fillId="24" borderId="5" xfId="0" applyFont="1" applyFill="1" applyBorder="1" applyAlignment="1">
      <alignment horizontal="center" vertical="center" wrapText="1"/>
    </xf>
    <xf numFmtId="3" fontId="26" fillId="24" borderId="9" xfId="0" applyNumberFormat="1" applyFont="1" applyFill="1" applyBorder="1" applyAlignment="1">
      <alignment horizontal="center"/>
    </xf>
    <xf numFmtId="3" fontId="26" fillId="24" borderId="13" xfId="0" applyNumberFormat="1" applyFont="1" applyFill="1" applyBorder="1" applyAlignment="1">
      <alignment horizontal="center"/>
    </xf>
    <xf numFmtId="170" fontId="26" fillId="24" borderId="13" xfId="84" applyNumberFormat="1" applyFont="1" applyFill="1" applyBorder="1" applyAlignment="1">
      <alignment horizontal="center"/>
    </xf>
    <xf numFmtId="3" fontId="26" fillId="24" borderId="17" xfId="0" applyNumberFormat="1" applyFont="1" applyFill="1" applyBorder="1" applyAlignment="1">
      <alignment horizontal="center"/>
    </xf>
    <xf numFmtId="0" fontId="16" fillId="24" borderId="7" xfId="0" applyFont="1" applyFill="1" applyBorder="1" applyAlignment="1">
      <alignment horizontal="center" vertical="center" wrapText="1"/>
    </xf>
    <xf numFmtId="3" fontId="26" fillId="24" borderId="11" xfId="0" applyNumberFormat="1" applyFont="1" applyFill="1" applyBorder="1" applyAlignment="1">
      <alignment horizontal="center"/>
    </xf>
    <xf numFmtId="3" fontId="26" fillId="24" borderId="15" xfId="0" applyNumberFormat="1" applyFont="1" applyFill="1" applyBorder="1" applyAlignment="1">
      <alignment horizontal="center"/>
    </xf>
    <xf numFmtId="3" fontId="26" fillId="24" borderId="19" xfId="0" applyNumberFormat="1" applyFont="1" applyFill="1" applyBorder="1" applyAlignment="1">
      <alignment horizontal="center"/>
    </xf>
    <xf numFmtId="3" fontId="4" fillId="4" borderId="8" xfId="0" applyNumberFormat="1" applyFont="1" applyFill="1" applyBorder="1" applyAlignment="1">
      <alignment vertical="center"/>
    </xf>
    <xf numFmtId="3" fontId="16" fillId="24" borderId="44" xfId="0" applyNumberFormat="1" applyFont="1" applyFill="1" applyBorder="1" applyAlignment="1">
      <alignment vertical="center"/>
    </xf>
    <xf numFmtId="3" fontId="16" fillId="24" borderId="54" xfId="0" applyNumberFormat="1" applyFont="1" applyFill="1" applyBorder="1" applyAlignment="1">
      <alignment vertical="center"/>
    </xf>
    <xf numFmtId="3" fontId="4" fillId="4" borderId="4" xfId="0" applyNumberFormat="1" applyFont="1" applyFill="1" applyBorder="1" applyAlignment="1">
      <alignment vertical="center"/>
    </xf>
    <xf numFmtId="3" fontId="4" fillId="4" borderId="44" xfId="0" applyNumberFormat="1" applyFont="1" applyFill="1" applyBorder="1" applyAlignment="1">
      <alignment vertical="center"/>
    </xf>
    <xf numFmtId="3" fontId="4" fillId="4" borderId="12" xfId="0" applyNumberFormat="1" applyFont="1" applyFill="1" applyBorder="1" applyAlignment="1">
      <alignment vertical="center"/>
    </xf>
    <xf numFmtId="3" fontId="6" fillId="4" borderId="12" xfId="0" applyNumberFormat="1" applyFont="1" applyFill="1" applyBorder="1" applyAlignment="1">
      <alignment vertical="center"/>
    </xf>
    <xf numFmtId="3" fontId="6" fillId="4" borderId="16" xfId="0" applyNumberFormat="1" applyFont="1" applyFill="1" applyBorder="1" applyAlignment="1">
      <alignment vertical="center"/>
    </xf>
    <xf numFmtId="0" fontId="16" fillId="24" borderId="62" xfId="0" applyFont="1" applyFill="1" applyBorder="1" applyAlignment="1">
      <alignment horizontal="left" vertical="center" indent="1"/>
    </xf>
    <xf numFmtId="0" fontId="16" fillId="24" borderId="71" xfId="0" applyFont="1" applyFill="1" applyBorder="1" applyAlignment="1">
      <alignment horizontal="left" vertical="center" indent="1"/>
    </xf>
    <xf numFmtId="0" fontId="4" fillId="4" borderId="1" xfId="0" applyFont="1" applyFill="1" applyBorder="1" applyAlignment="1">
      <alignment horizontal="left" vertical="center" wrapText="1" indent="1"/>
    </xf>
    <xf numFmtId="0" fontId="4" fillId="4" borderId="62" xfId="0" applyFont="1" applyFill="1" applyBorder="1" applyAlignment="1">
      <alignment horizontal="left" vertical="center" indent="1"/>
    </xf>
    <xf numFmtId="0" fontId="18" fillId="2" borderId="3" xfId="0" applyFont="1" applyFill="1" applyBorder="1" applyAlignment="1">
      <alignment horizontal="center" vertical="center" wrapText="1"/>
    </xf>
    <xf numFmtId="173" fontId="16" fillId="24" borderId="8" xfId="0" applyNumberFormat="1" applyFont="1" applyFill="1" applyBorder="1" applyAlignment="1">
      <alignment horizontal="right"/>
    </xf>
    <xf numFmtId="10" fontId="16" fillId="24" borderId="12" xfId="0" applyNumberFormat="1" applyFont="1" applyFill="1" applyBorder="1" applyAlignment="1">
      <alignment horizontal="right"/>
    </xf>
    <xf numFmtId="0" fontId="71" fillId="0" borderId="0" xfId="0" applyFont="1" applyAlignment="1">
      <alignment horizontal="center" vertical="center"/>
    </xf>
    <xf numFmtId="0" fontId="72" fillId="0" borderId="0" xfId="0" applyFont="1" applyAlignment="1">
      <alignment horizontal="left" vertical="center" wrapText="1"/>
    </xf>
    <xf numFmtId="0" fontId="2" fillId="0" borderId="0" xfId="0" applyFont="1" applyFill="1" applyAlignment="1">
      <alignment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14" fillId="2" borderId="1" xfId="0" applyFont="1" applyFill="1" applyBorder="1" applyAlignment="1">
      <alignment horizontal="center"/>
    </xf>
    <xf numFmtId="0" fontId="14" fillId="2" borderId="2" xfId="0" applyFont="1" applyFill="1" applyBorder="1" applyAlignment="1">
      <alignment horizontal="center"/>
    </xf>
    <xf numFmtId="0" fontId="14" fillId="2" borderId="3" xfId="0" applyFont="1" applyFill="1" applyBorder="1" applyAlignment="1">
      <alignment horizontal="center"/>
    </xf>
    <xf numFmtId="0" fontId="70" fillId="2" borderId="40" xfId="0" applyFont="1" applyFill="1" applyBorder="1" applyAlignment="1">
      <alignment horizontal="center" vertical="center" wrapText="1"/>
    </xf>
    <xf numFmtId="0" fontId="70" fillId="2" borderId="5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4" fillId="4" borderId="62" xfId="0" applyFont="1" applyFill="1" applyBorder="1" applyAlignment="1">
      <alignment vertical="center" wrapText="1"/>
    </xf>
    <xf numFmtId="0" fontId="4" fillId="4" borderId="52" xfId="0" applyFont="1" applyFill="1" applyBorder="1" applyAlignment="1">
      <alignment vertical="center" wrapText="1"/>
    </xf>
    <xf numFmtId="0" fontId="4" fillId="4" borderId="48" xfId="0" applyFont="1" applyFill="1" applyBorder="1" applyAlignment="1">
      <alignment vertical="center" wrapText="1"/>
    </xf>
    <xf numFmtId="0" fontId="4" fillId="4" borderId="59" xfId="0" applyFont="1" applyFill="1" applyBorder="1" applyAlignment="1">
      <alignment horizontal="left" vertical="center" wrapText="1"/>
    </xf>
    <xf numFmtId="0" fontId="4" fillId="4" borderId="53" xfId="0" applyFont="1" applyFill="1" applyBorder="1" applyAlignment="1">
      <alignment horizontal="left" vertical="center" wrapText="1"/>
    </xf>
    <xf numFmtId="0" fontId="4" fillId="4" borderId="26" xfId="0" applyFont="1" applyFill="1" applyBorder="1" applyAlignment="1">
      <alignment horizontal="left" vertical="center" wrapText="1"/>
    </xf>
    <xf numFmtId="0" fontId="4" fillId="4" borderId="60" xfId="0" applyFont="1" applyFill="1" applyBorder="1" applyAlignment="1">
      <alignment horizontal="left" vertical="center" wrapText="1"/>
    </xf>
    <xf numFmtId="0" fontId="4" fillId="4" borderId="61" xfId="0" applyFont="1" applyFill="1" applyBorder="1" applyAlignment="1">
      <alignment horizontal="left" vertical="center" wrapText="1"/>
    </xf>
    <xf numFmtId="0" fontId="4" fillId="4" borderId="27" xfId="0" applyFont="1" applyFill="1" applyBorder="1" applyAlignment="1">
      <alignment horizontal="left" vertical="center" wrapText="1"/>
    </xf>
    <xf numFmtId="0" fontId="18" fillId="0" borderId="0" xfId="0" applyFont="1" applyFill="1" applyAlignment="1">
      <alignment vertical="center" wrapText="1"/>
    </xf>
    <xf numFmtId="0" fontId="18" fillId="0" borderId="0" xfId="0" applyFont="1" applyFill="1" applyBorder="1" applyAlignment="1">
      <alignment vertical="center" wrapText="1"/>
    </xf>
    <xf numFmtId="0" fontId="61" fillId="2" borderId="1" xfId="0" applyFont="1" applyFill="1" applyBorder="1" applyAlignment="1">
      <alignment horizontal="center" vertical="center" wrapText="1"/>
    </xf>
    <xf numFmtId="0" fontId="61" fillId="2" borderId="2" xfId="0" applyFont="1" applyFill="1" applyBorder="1" applyAlignment="1">
      <alignment horizontal="center" vertical="center" wrapText="1"/>
    </xf>
    <xf numFmtId="0" fontId="61" fillId="2" borderId="3" xfId="0" applyFont="1" applyFill="1" applyBorder="1" applyAlignment="1">
      <alignment horizontal="center" vertical="center" wrapText="1"/>
    </xf>
    <xf numFmtId="0" fontId="18" fillId="2" borderId="40" xfId="0" applyFont="1" applyFill="1" applyBorder="1" applyAlignment="1">
      <alignment horizontal="center" vertical="center" wrapText="1"/>
    </xf>
    <xf numFmtId="0" fontId="18" fillId="2" borderId="35"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xf numFmtId="0" fontId="20" fillId="0" borderId="0" xfId="0" applyFont="1" applyFill="1" applyBorder="1" applyAlignment="1">
      <alignment vertical="center" wrapText="1"/>
    </xf>
    <xf numFmtId="0" fontId="18" fillId="0" borderId="0" xfId="0" applyFont="1" applyFill="1" applyBorder="1" applyAlignment="1">
      <alignment horizontal="left" vertical="center" wrapText="1"/>
    </xf>
    <xf numFmtId="0" fontId="5" fillId="0" borderId="0" xfId="0" applyFont="1" applyFill="1" applyAlignment="1">
      <alignment horizontal="left"/>
    </xf>
    <xf numFmtId="0" fontId="70" fillId="2" borderId="1" xfId="0" applyFont="1" applyFill="1" applyBorder="1" applyAlignment="1">
      <alignment horizontal="center"/>
    </xf>
    <xf numFmtId="0" fontId="70" fillId="2" borderId="2" xfId="0" applyFont="1" applyFill="1" applyBorder="1" applyAlignment="1">
      <alignment horizontal="center"/>
    </xf>
    <xf numFmtId="0" fontId="70" fillId="2" borderId="3" xfId="0" applyFont="1" applyFill="1" applyBorder="1" applyAlignment="1">
      <alignment horizontal="center"/>
    </xf>
    <xf numFmtId="0" fontId="5" fillId="0" borderId="0" xfId="0" applyFont="1" applyFill="1" applyAlignment="1">
      <alignment vertical="center" wrapText="1"/>
    </xf>
    <xf numFmtId="0" fontId="18" fillId="0" borderId="0" xfId="0" applyFont="1" applyFill="1" applyAlignment="1">
      <alignment horizontal="left" vertical="center" wrapText="1"/>
    </xf>
    <xf numFmtId="0" fontId="18" fillId="0" borderId="0" xfId="0" applyFont="1" applyFill="1" applyBorder="1" applyAlignment="1">
      <alignment wrapText="1"/>
    </xf>
    <xf numFmtId="0" fontId="0" fillId="0" borderId="35" xfId="0" applyBorder="1" applyAlignment="1">
      <alignment horizontal="center" vertical="center" wrapText="1"/>
    </xf>
    <xf numFmtId="0" fontId="18" fillId="2" borderId="86" xfId="0" applyFont="1" applyFill="1" applyBorder="1" applyAlignment="1">
      <alignment horizontal="center" vertical="center" wrapText="1"/>
    </xf>
    <xf numFmtId="0" fontId="0" fillId="0" borderId="72" xfId="0" applyBorder="1" applyAlignment="1">
      <alignment horizontal="center" vertical="center" wrapText="1"/>
    </xf>
    <xf numFmtId="0" fontId="5" fillId="2" borderId="40" xfId="0" applyFont="1" applyFill="1" applyBorder="1" applyAlignment="1">
      <alignment horizontal="left" vertical="center" indent="1"/>
    </xf>
    <xf numFmtId="0" fontId="0" fillId="0" borderId="35" xfId="0" applyBorder="1" applyAlignment="1">
      <alignment horizontal="left" vertical="center" indent="1"/>
    </xf>
    <xf numFmtId="0" fontId="14" fillId="26" borderId="1" xfId="0" applyFont="1" applyFill="1" applyBorder="1" applyAlignment="1">
      <alignment horizontal="center"/>
    </xf>
    <xf numFmtId="0" fontId="14" fillId="26" borderId="2" xfId="0" applyFont="1" applyFill="1" applyBorder="1" applyAlignment="1">
      <alignment horizontal="center"/>
    </xf>
    <xf numFmtId="0" fontId="14" fillId="26" borderId="3" xfId="0" applyFont="1" applyFill="1" applyBorder="1" applyAlignment="1">
      <alignment horizontal="center"/>
    </xf>
    <xf numFmtId="0" fontId="4" fillId="0" borderId="0" xfId="0" applyFont="1" applyFill="1" applyAlignment="1">
      <alignment horizontal="left" vertical="center" wrapText="1"/>
    </xf>
    <xf numFmtId="0" fontId="5" fillId="0" borderId="0" xfId="0" applyFont="1" applyFill="1" applyAlignment="1">
      <alignment horizontal="left" vertical="center" wrapText="1"/>
    </xf>
    <xf numFmtId="0" fontId="16" fillId="24" borderId="0" xfId="0" applyFont="1" applyFill="1" applyAlignment="1">
      <alignment horizontal="left" vertical="center" wrapText="1"/>
    </xf>
    <xf numFmtId="0" fontId="5" fillId="0" borderId="0" xfId="0" applyFont="1" applyFill="1" applyBorder="1" applyAlignment="1">
      <alignment vertical="center" wrapText="1"/>
    </xf>
    <xf numFmtId="0" fontId="4" fillId="0" borderId="59" xfId="0" applyFont="1" applyFill="1" applyBorder="1" applyAlignment="1">
      <alignment horizontal="left" vertical="center" indent="2"/>
    </xf>
    <xf numFmtId="0" fontId="4" fillId="0" borderId="26" xfId="0" applyFont="1" applyFill="1" applyBorder="1" applyAlignment="1">
      <alignment horizontal="left" vertical="center" indent="2"/>
    </xf>
    <xf numFmtId="0" fontId="4" fillId="4" borderId="58" xfId="0" applyFont="1" applyFill="1" applyBorder="1" applyAlignment="1">
      <alignment horizontal="left" vertical="center" wrapText="1" indent="1"/>
    </xf>
    <xf numFmtId="0" fontId="4" fillId="4" borderId="25" xfId="0" applyFont="1" applyFill="1" applyBorder="1" applyAlignment="1">
      <alignment horizontal="left" vertical="center" wrapText="1" indent="1"/>
    </xf>
    <xf numFmtId="0" fontId="4" fillId="0" borderId="60" xfId="0" applyFont="1" applyFill="1" applyBorder="1" applyAlignment="1">
      <alignment horizontal="left" vertical="center" indent="2"/>
    </xf>
    <xf numFmtId="0" fontId="4" fillId="0" borderId="27" xfId="0" applyFont="1" applyFill="1" applyBorder="1" applyAlignment="1">
      <alignment horizontal="left" vertical="center" indent="2"/>
    </xf>
    <xf numFmtId="0" fontId="5" fillId="2" borderId="1" xfId="0" applyFont="1" applyFill="1" applyBorder="1" applyAlignment="1">
      <alignment horizontal="left" vertical="center" wrapText="1"/>
    </xf>
    <xf numFmtId="0" fontId="5" fillId="2" borderId="3" xfId="0" applyFont="1" applyFill="1" applyBorder="1" applyAlignment="1">
      <alignment horizontal="left" vertical="center" wrapText="1"/>
    </xf>
    <xf numFmtId="0" fontId="4" fillId="0" borderId="58" xfId="0" applyFont="1" applyFill="1" applyBorder="1" applyAlignment="1">
      <alignment horizontal="left" vertical="center" indent="2"/>
    </xf>
    <xf numFmtId="0" fontId="4" fillId="0" borderId="25" xfId="0" applyFont="1" applyFill="1" applyBorder="1" applyAlignment="1">
      <alignment horizontal="left" vertical="center" indent="2"/>
    </xf>
    <xf numFmtId="0" fontId="4" fillId="4" borderId="59" xfId="0" applyFont="1" applyFill="1" applyBorder="1" applyAlignment="1">
      <alignment horizontal="left" vertical="center" wrapText="1" indent="1"/>
    </xf>
    <xf numFmtId="0" fontId="4" fillId="4" borderId="26" xfId="0" applyFont="1" applyFill="1" applyBorder="1" applyAlignment="1">
      <alignment horizontal="left" vertical="center" wrapText="1" indent="1"/>
    </xf>
    <xf numFmtId="0" fontId="4" fillId="4" borderId="60" xfId="0" applyFont="1" applyFill="1" applyBorder="1" applyAlignment="1">
      <alignment horizontal="left" vertical="center" wrapText="1" indent="1"/>
    </xf>
    <xf numFmtId="0" fontId="4" fillId="4" borderId="27" xfId="0" applyFont="1" applyFill="1" applyBorder="1" applyAlignment="1">
      <alignment horizontal="left" vertical="center" wrapText="1" indent="1"/>
    </xf>
    <xf numFmtId="0" fontId="4" fillId="0" borderId="0" xfId="0" applyFont="1" applyFill="1" applyAlignment="1">
      <alignment wrapText="1"/>
    </xf>
    <xf numFmtId="0" fontId="5" fillId="0" borderId="0" xfId="0" applyFont="1" applyFill="1" applyAlignment="1">
      <alignment horizontal="left" wrapText="1"/>
    </xf>
    <xf numFmtId="0" fontId="4" fillId="0" borderId="0" xfId="0" applyFont="1" applyFill="1" applyAlignment="1">
      <alignment vertical="center" wrapText="1"/>
    </xf>
    <xf numFmtId="0" fontId="5" fillId="2" borderId="1" xfId="0" applyFont="1" applyFill="1" applyBorder="1" applyAlignment="1">
      <alignment horizontal="left" vertical="center" wrapText="1" indent="1"/>
    </xf>
    <xf numFmtId="0" fontId="5" fillId="2" borderId="3" xfId="0" applyFont="1" applyFill="1" applyBorder="1" applyAlignment="1">
      <alignment horizontal="left" vertical="center" wrapText="1" indent="1"/>
    </xf>
    <xf numFmtId="0" fontId="6" fillId="0" borderId="0" xfId="0" applyFont="1" applyFill="1" applyAlignment="1">
      <alignment vertical="center"/>
    </xf>
    <xf numFmtId="0" fontId="4" fillId="0" borderId="0" xfId="0" applyFont="1" applyFill="1" applyAlignment="1">
      <alignment horizontal="left" vertical="center"/>
    </xf>
    <xf numFmtId="0" fontId="6" fillId="0" borderId="0" xfId="0" applyFont="1" applyFill="1" applyAlignment="1">
      <alignment vertical="center" wrapText="1"/>
    </xf>
    <xf numFmtId="0" fontId="5" fillId="0" borderId="0" xfId="0" applyFont="1" applyBorder="1" applyAlignment="1">
      <alignment horizontal="left" vertical="center" wrapText="1"/>
    </xf>
    <xf numFmtId="0" fontId="78" fillId="2" borderId="1" xfId="0" applyFont="1" applyFill="1" applyBorder="1" applyAlignment="1">
      <alignment horizontal="center"/>
    </xf>
    <xf numFmtId="0" fontId="78" fillId="2" borderId="2" xfId="0" applyFont="1" applyFill="1" applyBorder="1" applyAlignment="1">
      <alignment horizontal="center"/>
    </xf>
    <xf numFmtId="0" fontId="78" fillId="2" borderId="3" xfId="0" applyFont="1" applyFill="1" applyBorder="1" applyAlignment="1">
      <alignment horizontal="center"/>
    </xf>
    <xf numFmtId="0" fontId="6" fillId="0" borderId="0" xfId="0" applyFont="1" applyAlignment="1">
      <alignment horizontal="justify" vertical="justify" wrapText="1"/>
    </xf>
    <xf numFmtId="3" fontId="6" fillId="0" borderId="25" xfId="0" applyNumberFormat="1" applyFont="1" applyFill="1" applyBorder="1"/>
    <xf numFmtId="3" fontId="6" fillId="0" borderId="12" xfId="86" applyNumberFormat="1" applyFont="1" applyFill="1" applyBorder="1" applyAlignment="1">
      <alignment horizontal="center" vertical="center" wrapText="1"/>
    </xf>
    <xf numFmtId="0" fontId="61" fillId="0" borderId="4" xfId="0" applyFont="1" applyBorder="1" applyAlignment="1">
      <alignment horizontal="center" vertical="center"/>
    </xf>
    <xf numFmtId="0" fontId="6" fillId="4" borderId="32" xfId="0" applyFont="1" applyFill="1" applyBorder="1" applyAlignment="1">
      <alignment horizontal="left" indent="1"/>
    </xf>
    <xf numFmtId="0" fontId="18" fillId="2" borderId="4" xfId="0" applyFont="1" applyFill="1" applyBorder="1" applyAlignment="1">
      <alignment horizontal="left" indent="1"/>
    </xf>
    <xf numFmtId="0" fontId="18" fillId="2" borderId="4" xfId="0" applyFont="1" applyFill="1" applyBorder="1" applyAlignment="1">
      <alignment horizontal="right" indent="1"/>
    </xf>
    <xf numFmtId="3" fontId="6" fillId="4" borderId="8" xfId="0" applyNumberFormat="1" applyFont="1" applyFill="1" applyBorder="1" applyAlignment="1">
      <alignment horizontal="right" indent="1"/>
    </xf>
    <xf numFmtId="3" fontId="6" fillId="4" borderId="12" xfId="0" applyNumberFormat="1" applyFont="1" applyFill="1" applyBorder="1" applyAlignment="1">
      <alignment horizontal="right" indent="1"/>
    </xf>
    <xf numFmtId="3" fontId="6" fillId="4" borderId="32" xfId="0" applyNumberFormat="1" applyFont="1" applyFill="1" applyBorder="1" applyAlignment="1">
      <alignment horizontal="right" indent="1"/>
    </xf>
    <xf numFmtId="3" fontId="18" fillId="2" borderId="4" xfId="0" applyNumberFormat="1" applyFont="1" applyFill="1" applyBorder="1" applyAlignment="1">
      <alignment horizontal="right" indent="1"/>
    </xf>
  </cellXfs>
  <cellStyles count="461">
    <cellStyle name="_x000a_386grabber=M" xfId="87"/>
    <cellStyle name="_x000a_386grabber=M 2" xfId="88"/>
    <cellStyle name="%" xfId="89"/>
    <cellStyle name="% 2" xfId="90"/>
    <cellStyle name="_6A-Reinsurance OLD---DELETE WHEN DONE" xfId="91"/>
    <cellStyle name="_6A-Reinsurance OLD---DELETE WHEN DONE 2" xfId="92"/>
    <cellStyle name="_6-Reaseguro SG 2010-09" xfId="93"/>
    <cellStyle name="_6-Reaseguro SG 2010-09 2" xfId="94"/>
    <cellStyle name="_6-Reaseguro SG 2010-09_1_Actualizar tablas 2011-09" xfId="95"/>
    <cellStyle name="_6-Reaseguro SG 2010-09_1_Actualizar tablas 2011-10" xfId="96"/>
    <cellStyle name="_6-Reaseguro SG 2010-09_1_Actualizar tablas 2011-11" xfId="97"/>
    <cellStyle name="_6-Reaseguro SG 2010-09_End para reenv" xfId="98"/>
    <cellStyle name="_6-Reaseguro SG 2010-09_Endeud x reenv" xfId="99"/>
    <cellStyle name="_6-Reaseguro SG 2010-09_Libro1" xfId="100"/>
    <cellStyle name="_6-Reaseguro SG 2010-12-----final to delte" xfId="101"/>
    <cellStyle name="_6-Reaseguro SG 2010-12-----final to delte 2" xfId="102"/>
    <cellStyle name="_6-Reaseguro SG 2010-12-----final to delte_1_Actualizar tablas 2011-09" xfId="103"/>
    <cellStyle name="_6-Reaseguro SG 2010-12-----final to delte_1_Actualizar tablas 2011-10" xfId="104"/>
    <cellStyle name="_6-Reaseguro SG 2010-12-----final to delte_1_Actualizar tablas 2011-11" xfId="105"/>
    <cellStyle name="_6-Reaseguro SG 2010-12-----final to delte_End para reenv" xfId="106"/>
    <cellStyle name="_6-Reaseguro SG 2010-12-----final to delte_Endeud x reenv" xfId="107"/>
    <cellStyle name="_6-Reaseguro SG 2010-12-----final to delte_Libro1" xfId="108"/>
    <cellStyle name="_8 Cardif-Copia de an0912.96837640_20100330_103335" xfId="109"/>
    <cellStyle name="_8 Cardif-Copia de an0912.96837640_20100330_103335_Reaseguro-final Revised" xfId="110"/>
    <cellStyle name="_8 Cardif-Copia de an0912.96837640_20100330_103335_Reaseguro-final Revised.xls" xfId="111"/>
    <cellStyle name="_8 Cardif-Copia de an0912.96837640_20100330_103335_Reaseguro-final Revised.xls Chart -1021" xfId="112"/>
    <cellStyle name="_8 Cardif-Copia de an0912.96837640_20100330_103335_Reaseguro-final Revised.xls Chart -1022" xfId="113"/>
    <cellStyle name="_8 Cardif-Copia de an0912.96837640_20100330_103335_Reaseguro-final Revised.xls Chart -1023" xfId="114"/>
    <cellStyle name="_an1003.96654180_20100430_184009.xls" xfId="115"/>
    <cellStyle name="_an1003.96654180_20100430_184009.xls_6-Reaseguro SG 2010-12-----final to delte" xfId="116"/>
    <cellStyle name="_an1003.96654180_20100430_184009.xls_6-Reaseguro SG 2010-12-----final to delte 2" xfId="117"/>
    <cellStyle name="_an1003.96654180_20100430_184009.xls_6-Reaseguro SG 2010-12-----final to delte_1_Actualizar tablas 2011-09" xfId="118"/>
    <cellStyle name="_an1003.96654180_20100430_184009.xls_6-Reaseguro SG 2010-12-----final to delte_1_Actualizar tablas 2011-10" xfId="119"/>
    <cellStyle name="_an1003.96654180_20100430_184009.xls_6-Reaseguro SG 2010-12-----final to delte_1_Actualizar tablas 2011-11" xfId="120"/>
    <cellStyle name="_an1003.96654180_20100430_184009.xls_6-Reaseguro SG 2010-12-----final to delte_End para reenv" xfId="121"/>
    <cellStyle name="_an1003.96654180_20100430_184009.xls_6-Reaseguro SG 2010-12-----final to delte_Endeud x reenv" xfId="122"/>
    <cellStyle name="_an1003.96654180_20100430_184009.xls_6-Reaseguro SG 2010-12-----final to delte_Libro1" xfId="123"/>
    <cellStyle name="_an1003.96837640_20100430_204545.xls" xfId="124"/>
    <cellStyle name="_CARDIFan1012.96837640_20110301_175955" xfId="125"/>
    <cellStyle name="_chubb" xfId="126"/>
    <cellStyle name="_chubb 2" xfId="127"/>
    <cellStyle name="_CONSORCIOan1012.96654180_20110301_185859" xfId="128"/>
    <cellStyle name="_CONSORCIOan1012.96654180_20110301_185859 2" xfId="129"/>
    <cellStyle name="_CONSORCIOan1012.96654180_20110301_185859_1_Actualizar tablas 2011-09" xfId="130"/>
    <cellStyle name="_CONSORCIOan1012.96654180_20110301_185859_1_Actualizar tablas 2011-10" xfId="131"/>
    <cellStyle name="_CONSORCIOan1012.96654180_20110301_185859_1_Actualizar tablas 2011-11" xfId="132"/>
    <cellStyle name="_CONSORCIOan1012.96654180_20110301_185859_End para reenv" xfId="133"/>
    <cellStyle name="_CONSORCIOan1012.96654180_20110301_185859_Endeud x reenv" xfId="134"/>
    <cellStyle name="_CONSORCIOan1012.96654180_20110301_185859_Libro1" xfId="135"/>
    <cellStyle name="_Copia de an1009.96837640_20101028_202056" xfId="136"/>
    <cellStyle name="_Copia de an1009.96837640_20101028_202056_6-Reaseguro SG 2010-12-----final to delte" xfId="137"/>
    <cellStyle name="_delete" xfId="138"/>
    <cellStyle name="_delete 2" xfId="139"/>
    <cellStyle name="_Reas Ext x cia" xfId="140"/>
    <cellStyle name="_Reas Ext x cia 2" xfId="141"/>
    <cellStyle name="_Reaseguro" xfId="142"/>
    <cellStyle name="_Reaseguro 2" xfId="143"/>
    <cellStyle name="_Reaseguro- final formulas" xfId="144"/>
    <cellStyle name="_Reaseguro- final formulas 2" xfId="145"/>
    <cellStyle name="_Reaseguro- final formulas_1_Actualizar tablas 2011-09" xfId="146"/>
    <cellStyle name="_Reaseguro- final formulas_1_Actualizar tablas 2011-10" xfId="147"/>
    <cellStyle name="_Reaseguro- final formulas_1_Actualizar tablas 2011-11" xfId="148"/>
    <cellStyle name="_Reaseguro- final formulas_End para reenv" xfId="149"/>
    <cellStyle name="_Reaseguro- final formulas_Endeud x reenv" xfId="150"/>
    <cellStyle name="_Reaseguro- final formulas_Libro1" xfId="151"/>
    <cellStyle name="_Reaseguro-formulas Revised.xls" xfId="152"/>
    <cellStyle name="_Reaseguro-formulas Revised.xls_6-Reaseguro SG 2010-12-----final to delte" xfId="153"/>
    <cellStyle name="_Reaseguro-formulas Revised.xls_6-Reaseguro SG 2010-12-----final to delte 2" xfId="154"/>
    <cellStyle name="_Reaseguro-formulas Revised.xls_6-Reaseguro SG 2010-12-----final to delte_1_Actualizar tablas 2011-09" xfId="155"/>
    <cellStyle name="_Reaseguro-formulas Revised.xls_6-Reaseguro SG 2010-12-----final to delte_1_Actualizar tablas 2011-10" xfId="156"/>
    <cellStyle name="_Reaseguro-formulas Revised.xls_6-Reaseguro SG 2010-12-----final to delte_1_Actualizar tablas 2011-11" xfId="157"/>
    <cellStyle name="_Reaseguro-formulas Revised.xls_6-Reaseguro SG 2010-12-----final to delte_End para reenv" xfId="158"/>
    <cellStyle name="_Reaseguro-formulas Revised.xls_6-Reaseguro SG 2010-12-----final to delte_Endeud x reenv" xfId="159"/>
    <cellStyle name="_Reaseguro-formulas Revised.xls_6-Reaseguro SG 2010-12-----final to delte_Libro1" xfId="160"/>
    <cellStyle name="_Reaseguro-graficos" xfId="161"/>
    <cellStyle name="_Reaseguro-graficos 2" xfId="162"/>
    <cellStyle name="_Reaseguro-graficos_1_Actualizar tablas 2011-09" xfId="163"/>
    <cellStyle name="_Reaseguro-graficos_1_Actualizar tablas 2011-10" xfId="164"/>
    <cellStyle name="_Reaseguro-graficos_1_Actualizar tablas 2011-11" xfId="165"/>
    <cellStyle name="_Reaseguro-graficos_End para reenv" xfId="166"/>
    <cellStyle name="_Reaseguro-graficos_Endeud x reenv" xfId="167"/>
    <cellStyle name="_Reaseguro-graficos_Libro1" xfId="168"/>
    <cellStyle name="1 000 Kč_laroux" xfId="169"/>
    <cellStyle name="20% - Énfasis1 2" xfId="170"/>
    <cellStyle name="20% - Énfasis1 3" xfId="171"/>
    <cellStyle name="20% - Énfasis1 4" xfId="172"/>
    <cellStyle name="20% - Énfasis1 5" xfId="173"/>
    <cellStyle name="20% - Énfasis1 6" xfId="174"/>
    <cellStyle name="20% - Énfasis2 2" xfId="175"/>
    <cellStyle name="20% - Énfasis2 3" xfId="176"/>
    <cellStyle name="20% - Énfasis2 4" xfId="177"/>
    <cellStyle name="20% - Énfasis2 5" xfId="178"/>
    <cellStyle name="20% - Énfasis2 6" xfId="179"/>
    <cellStyle name="20% - Énfasis3 2" xfId="180"/>
    <cellStyle name="20% - Énfasis3 3" xfId="181"/>
    <cellStyle name="20% - Énfasis3 4" xfId="182"/>
    <cellStyle name="20% - Énfasis3 5" xfId="183"/>
    <cellStyle name="20% - Énfasis3 6" xfId="184"/>
    <cellStyle name="20% - Énfasis4 2" xfId="185"/>
    <cellStyle name="20% - Énfasis4 3" xfId="186"/>
    <cellStyle name="20% - Énfasis4 4" xfId="187"/>
    <cellStyle name="20% - Énfasis4 5" xfId="188"/>
    <cellStyle name="20% - Énfasis4 6" xfId="189"/>
    <cellStyle name="20% - Énfasis5 2" xfId="190"/>
    <cellStyle name="20% - Énfasis5 3" xfId="191"/>
    <cellStyle name="20% - Énfasis5 4" xfId="192"/>
    <cellStyle name="20% - Énfasis5 5" xfId="193"/>
    <cellStyle name="20% - Énfasis5 6" xfId="194"/>
    <cellStyle name="20% - Énfasis6 2" xfId="195"/>
    <cellStyle name="20% - Énfasis6 3" xfId="196"/>
    <cellStyle name="20% - Énfasis6 4" xfId="197"/>
    <cellStyle name="20% - Énfasis6 5" xfId="198"/>
    <cellStyle name="20% - Énfasis6 6" xfId="199"/>
    <cellStyle name="40% - Énfasis1 2" xfId="200"/>
    <cellStyle name="40% - Énfasis1 3" xfId="201"/>
    <cellStyle name="40% - Énfasis1 4" xfId="202"/>
    <cellStyle name="40% - Énfasis1 5" xfId="203"/>
    <cellStyle name="40% - Énfasis1 6" xfId="204"/>
    <cellStyle name="40% - Énfasis2 2" xfId="205"/>
    <cellStyle name="40% - Énfasis2 3" xfId="206"/>
    <cellStyle name="40% - Énfasis2 4" xfId="207"/>
    <cellStyle name="40% - Énfasis2 5" xfId="208"/>
    <cellStyle name="40% - Énfasis2 6" xfId="209"/>
    <cellStyle name="40% - Énfasis3 2" xfId="210"/>
    <cellStyle name="40% - Énfasis3 3" xfId="211"/>
    <cellStyle name="40% - Énfasis3 4" xfId="212"/>
    <cellStyle name="40% - Énfasis3 5" xfId="213"/>
    <cellStyle name="40% - Énfasis3 6" xfId="214"/>
    <cellStyle name="40% - Énfasis4 2" xfId="215"/>
    <cellStyle name="40% - Énfasis4 3" xfId="216"/>
    <cellStyle name="40% - Énfasis4 4" xfId="217"/>
    <cellStyle name="40% - Énfasis4 5" xfId="218"/>
    <cellStyle name="40% - Énfasis4 6" xfId="219"/>
    <cellStyle name="40% - Énfasis5 2" xfId="220"/>
    <cellStyle name="40% - Énfasis5 3" xfId="221"/>
    <cellStyle name="40% - Énfasis5 4" xfId="222"/>
    <cellStyle name="40% - Énfasis5 5" xfId="223"/>
    <cellStyle name="40% - Énfasis5 6" xfId="224"/>
    <cellStyle name="40% - Énfasis6 2" xfId="225"/>
    <cellStyle name="40% - Énfasis6 3" xfId="226"/>
    <cellStyle name="40% - Énfasis6 4" xfId="227"/>
    <cellStyle name="40% - Énfasis6 5" xfId="228"/>
    <cellStyle name="40% - Énfasis6 6" xfId="229"/>
    <cellStyle name="60% - Énfasis1 2" xfId="230"/>
    <cellStyle name="60% - Énfasis1 3" xfId="231"/>
    <cellStyle name="60% - Énfasis1 4" xfId="232"/>
    <cellStyle name="60% - Énfasis1 5" xfId="233"/>
    <cellStyle name="60% - Énfasis1 6" xfId="234"/>
    <cellStyle name="60% - Énfasis2 2" xfId="235"/>
    <cellStyle name="60% - Énfasis2 3" xfId="236"/>
    <cellStyle name="60% - Énfasis2 4" xfId="237"/>
    <cellStyle name="60% - Énfasis2 5" xfId="238"/>
    <cellStyle name="60% - Énfasis2 6" xfId="239"/>
    <cellStyle name="60% - Énfasis3 2" xfId="240"/>
    <cellStyle name="60% - Énfasis3 3" xfId="241"/>
    <cellStyle name="60% - Énfasis3 4" xfId="242"/>
    <cellStyle name="60% - Énfasis3 5" xfId="243"/>
    <cellStyle name="60% - Énfasis3 6" xfId="244"/>
    <cellStyle name="60% - Énfasis4 2" xfId="245"/>
    <cellStyle name="60% - Énfasis4 3" xfId="246"/>
    <cellStyle name="60% - Énfasis4 4" xfId="247"/>
    <cellStyle name="60% - Énfasis4 5" xfId="248"/>
    <cellStyle name="60% - Énfasis4 6" xfId="249"/>
    <cellStyle name="60% - Énfasis5 2" xfId="250"/>
    <cellStyle name="60% - Énfasis5 3" xfId="251"/>
    <cellStyle name="60% - Énfasis5 4" xfId="252"/>
    <cellStyle name="60% - Énfasis5 5" xfId="253"/>
    <cellStyle name="60% - Énfasis5 6" xfId="254"/>
    <cellStyle name="60% - Énfasis6 2" xfId="255"/>
    <cellStyle name="60% - Énfasis6 3" xfId="256"/>
    <cellStyle name="60% - Énfasis6 4" xfId="257"/>
    <cellStyle name="60% - Énfasis6 5" xfId="258"/>
    <cellStyle name="60% - Énfasis6 6" xfId="259"/>
    <cellStyle name="ar Preferences]_x000a__x000a_ShowControlRibbon=1_x000a__x000a_ShowIconBar=1_x000a__x000a_BorderWidth=5" xfId="260"/>
    <cellStyle name="ar Preferences]_x000a__x000a_ShowControlRibbon=1_x000a__x000a_ShowIconBar=1_x000a__x000a_BorderWidth=5 2" xfId="261"/>
    <cellStyle name="ar Preferences]_x000d__x000a_ShowControlRibbon=1_x000d__x000a_ShowIconBar=1_x000d__x000a_BorderWidth=5" xfId="85"/>
    <cellStyle name="ar Preferences]_x000d__x000a_ShowControlRibbon=1_x000d__x000a_ShowIconBar=1_x000d__x000a_BorderWidth=5 2" xfId="262"/>
    <cellStyle name="ar Preferences]_x000d__x000a_ShowControlRibbon=1_x000d__x000a_ShowIconBar=1_x000d__x000a_BorderWidth=5 3" xfId="263"/>
    <cellStyle name="ar Preferences]_x000d__x000a_ShowControlRibbon=1_x000d__x000a_ShowIconBar=1_x000d__x000a_BorderWidth=5_RF Nac Ago 2011" xfId="264"/>
    <cellStyle name="Buena 2" xfId="265"/>
    <cellStyle name="Buena 3" xfId="266"/>
    <cellStyle name="Buena 4" xfId="267"/>
    <cellStyle name="Buena 5" xfId="268"/>
    <cellStyle name="Buena 6" xfId="269"/>
    <cellStyle name="Cabecera 1" xfId="1"/>
    <cellStyle name="Cabecera 2" xfId="2"/>
    <cellStyle name="Cabecera 2 2" xfId="3"/>
    <cellStyle name="Cabecera 2 3" xfId="4"/>
    <cellStyle name="Cabecera 2 4" xfId="5"/>
    <cellStyle name="Cabecera 2 5" xfId="6"/>
    <cellStyle name="Cálculo 2" xfId="270"/>
    <cellStyle name="Cálculo 3" xfId="271"/>
    <cellStyle name="Cálculo 4" xfId="272"/>
    <cellStyle name="Cálculo 5" xfId="273"/>
    <cellStyle name="Cálculo 6" xfId="274"/>
    <cellStyle name="čárky [0]_laroux" xfId="275"/>
    <cellStyle name="čárky_laroux" xfId="276"/>
    <cellStyle name="carola" xfId="277"/>
    <cellStyle name="carola 2" xfId="278"/>
    <cellStyle name="Celda de comprobación 2" xfId="279"/>
    <cellStyle name="Celda de comprobación 3" xfId="280"/>
    <cellStyle name="Celda de comprobación 4" xfId="281"/>
    <cellStyle name="Celda de comprobación 5" xfId="282"/>
    <cellStyle name="Celda de comprobación 6" xfId="283"/>
    <cellStyle name="Celda vinculada 2" xfId="284"/>
    <cellStyle name="Celda vinculada 3" xfId="285"/>
    <cellStyle name="Celda vinculada 4" xfId="286"/>
    <cellStyle name="Celda vinculada 5" xfId="287"/>
    <cellStyle name="Celda vinculada 6" xfId="288"/>
    <cellStyle name="Comma [0]_an1003.76042965_20100501_043832.xls" xfId="289"/>
    <cellStyle name="Comma_an1003.76042965_20100501_043832.xls" xfId="290"/>
    <cellStyle name="Comma0" xfId="291"/>
    <cellStyle name="Currency [0]_an1003.76042965_20100501_043832.xls" xfId="292"/>
    <cellStyle name="Currency_an1003.76042965_20100501_043832.xls" xfId="293"/>
    <cellStyle name="Currency0" xfId="294"/>
    <cellStyle name="Currency0 2" xfId="295"/>
    <cellStyle name="Date" xfId="296"/>
    <cellStyle name="Diseño" xfId="297"/>
    <cellStyle name="Diseño 2" xfId="298"/>
    <cellStyle name="Encabezado 4 2" xfId="299"/>
    <cellStyle name="Encabezado 4 3" xfId="300"/>
    <cellStyle name="Encabezado 4 4" xfId="301"/>
    <cellStyle name="Encabezado 4 5" xfId="302"/>
    <cellStyle name="Encabezado 4 6" xfId="303"/>
    <cellStyle name="Énfasis1 2" xfId="304"/>
    <cellStyle name="Énfasis1 3" xfId="305"/>
    <cellStyle name="Énfasis1 4" xfId="306"/>
    <cellStyle name="Énfasis1 5" xfId="307"/>
    <cellStyle name="Énfasis1 6" xfId="308"/>
    <cellStyle name="Énfasis2 2" xfId="309"/>
    <cellStyle name="Énfasis2 3" xfId="310"/>
    <cellStyle name="Énfasis2 4" xfId="311"/>
    <cellStyle name="Énfasis2 5" xfId="312"/>
    <cellStyle name="Énfasis2 6" xfId="313"/>
    <cellStyle name="Énfasis3 2" xfId="314"/>
    <cellStyle name="Énfasis3 3" xfId="315"/>
    <cellStyle name="Énfasis3 4" xfId="316"/>
    <cellStyle name="Énfasis3 5" xfId="317"/>
    <cellStyle name="Énfasis3 6" xfId="318"/>
    <cellStyle name="Énfasis4 2" xfId="319"/>
    <cellStyle name="Énfasis4 3" xfId="320"/>
    <cellStyle name="Énfasis4 4" xfId="321"/>
    <cellStyle name="Énfasis4 5" xfId="322"/>
    <cellStyle name="Énfasis4 6" xfId="323"/>
    <cellStyle name="Énfasis5 2" xfId="324"/>
    <cellStyle name="Énfasis5 3" xfId="325"/>
    <cellStyle name="Énfasis5 4" xfId="326"/>
    <cellStyle name="Énfasis5 5" xfId="327"/>
    <cellStyle name="Énfasis5 6" xfId="328"/>
    <cellStyle name="Énfasis6 2" xfId="329"/>
    <cellStyle name="Énfasis6 3" xfId="330"/>
    <cellStyle name="Énfasis6 4" xfId="331"/>
    <cellStyle name="Énfasis6 5" xfId="332"/>
    <cellStyle name="Énfasis6 6" xfId="333"/>
    <cellStyle name="Entrada 2" xfId="334"/>
    <cellStyle name="Entrada 3" xfId="335"/>
    <cellStyle name="Entrada 4" xfId="336"/>
    <cellStyle name="Entrada 5" xfId="337"/>
    <cellStyle name="Entrada 6" xfId="338"/>
    <cellStyle name="ESPACIO" xfId="7"/>
    <cellStyle name="Estilo 1" xfId="339"/>
    <cellStyle name="Estilo 1 2" xfId="340"/>
    <cellStyle name="Euro" xfId="8"/>
    <cellStyle name="Euro 2" xfId="9"/>
    <cellStyle name="Euro 3" xfId="10"/>
    <cellStyle name="Euro 4" xfId="11"/>
    <cellStyle name="Euro 5" xfId="12"/>
    <cellStyle name="Fecha" xfId="13"/>
    <cellStyle name="Fecha 2" xfId="341"/>
    <cellStyle name="Fecha2 - Modelo2" xfId="14"/>
    <cellStyle name="Fijo" xfId="15"/>
    <cellStyle name="Fijo 2" xfId="342"/>
    <cellStyle name="Fixed" xfId="343"/>
    <cellStyle name="Followed Hyperlink_an1003.76042965_20100501_043832.xls" xfId="344"/>
    <cellStyle name="GLMCle" xfId="345"/>
    <cellStyle name="GLMCodes" xfId="346"/>
    <cellStyle name="GLMComptes" xfId="347"/>
    <cellStyle name="GLMMontants" xfId="348"/>
    <cellStyle name="Heading 1" xfId="349"/>
    <cellStyle name="Heading 2" xfId="350"/>
    <cellStyle name="Hyperlink_an1003.76042965_20100501_043832.xls" xfId="351"/>
    <cellStyle name="Incorrecto 2" xfId="352"/>
    <cellStyle name="Incorrecto 3" xfId="353"/>
    <cellStyle name="Incorrecto 4" xfId="354"/>
    <cellStyle name="Incorrecto 5" xfId="355"/>
    <cellStyle name="Incorrecto 6" xfId="356"/>
    <cellStyle name="inge" xfId="16"/>
    <cellStyle name="l]_x000a__x000a_Path=M:\RIOCEN01_x000a__x000a_Name=Carlos Emilio Brousse_x000a__x000a_DDEApps=nsf,nsg,nsh,ntf,ns2,ors,org_x000a__x000a_SmartIcons=Todos_x000a__x000a_" xfId="357"/>
    <cellStyle name="l]_x000a__x000a_Path=M:\RIOCEN01_x000a__x000a_Name=Carlos Emilio Brousse_x000a__x000a_DDEApps=nsf,nsg,nsh,ntf,ns2,ors,org_x000a__x000a_SmartIcons=Todos_x000a__x000a_ 2" xfId="358"/>
    <cellStyle name="l]_x000d__x000a_Path=M:\RIOCEN01_x000d__x000a_Name=Carlos Emilio Brousse_x000d__x000a_DDEApps=nsf,nsg,nsh,ntf,ns2,ors,org_x000d__x000a_SmartIcons=Todos_x000d__x000a_" xfId="359"/>
    <cellStyle name="l]_x000d__x000a_Path=M:\RIOCEN01_x000d__x000a_Name=Carlos Emilio Brousse_x000d__x000a_DDEApps=nsf,nsg,nsh,ntf,ns2,ors,org_x000d__x000a_SmartIcons=Todos_x000d__x000a_ 2" xfId="360"/>
    <cellStyle name="Lien hypertexte visité_arretechili" xfId="361"/>
    <cellStyle name="měny_laroux" xfId="362"/>
    <cellStyle name="Millares" xfId="86" builtinId="3"/>
    <cellStyle name="Millares [0] 2" xfId="17"/>
    <cellStyle name="Millares [0] 2 2" xfId="18"/>
    <cellStyle name="Millares [0] 6" xfId="19"/>
    <cellStyle name="Millares [0] 7" xfId="20"/>
    <cellStyle name="Millares [0] 8" xfId="21"/>
    <cellStyle name="Millares 10" xfId="22"/>
    <cellStyle name="Millares 11" xfId="23"/>
    <cellStyle name="Millares 12" xfId="24"/>
    <cellStyle name="Millares 2" xfId="25"/>
    <cellStyle name="Millares 2 2" xfId="26"/>
    <cellStyle name="Millares 2 3" xfId="27"/>
    <cellStyle name="Millares 2_6A-Reinsurance OLD---DELETE WHEN DONE" xfId="363"/>
    <cellStyle name="Millares 3" xfId="28"/>
    <cellStyle name="Millares 3 2" xfId="29"/>
    <cellStyle name="Millares 3 3" xfId="30"/>
    <cellStyle name="Millares 3 4" xfId="31"/>
    <cellStyle name="Millares 4" xfId="32"/>
    <cellStyle name="Millares 4 2" xfId="364"/>
    <cellStyle name="Millares 5" xfId="33"/>
    <cellStyle name="Millares 5 2" xfId="365"/>
    <cellStyle name="Millares 6" xfId="34"/>
    <cellStyle name="Millares 6 2" xfId="366"/>
    <cellStyle name="Millares 7" xfId="35"/>
    <cellStyle name="Millares 7 2" xfId="367"/>
    <cellStyle name="Millares 8" xfId="36"/>
    <cellStyle name="Millares 8 2" xfId="368"/>
    <cellStyle name="Millares 9" xfId="37"/>
    <cellStyle name="Milliers [0]_AMEX94" xfId="369"/>
    <cellStyle name="Milliers_AMEX94" xfId="370"/>
    <cellStyle name="Moneda 2" xfId="38"/>
    <cellStyle name="Monétaire [0]_AMEX94" xfId="371"/>
    <cellStyle name="Monétaire_AMEX94" xfId="372"/>
    <cellStyle name="Monetario" xfId="39"/>
    <cellStyle name="Monetario 2" xfId="373"/>
    <cellStyle name="Monetario0" xfId="40"/>
    <cellStyle name="Monetario0 2" xfId="374"/>
    <cellStyle name="Neutral 2" xfId="375"/>
    <cellStyle name="Neutral 3" xfId="376"/>
    <cellStyle name="Neutral 4" xfId="377"/>
    <cellStyle name="Neutral 5" xfId="378"/>
    <cellStyle name="Neutral 6" xfId="379"/>
    <cellStyle name="No-definido" xfId="380"/>
    <cellStyle name="No-definido 2" xfId="381"/>
    <cellStyle name="Non défini" xfId="382"/>
    <cellStyle name="Normal" xfId="0" builtinId="0"/>
    <cellStyle name="Normal 10" xfId="41"/>
    <cellStyle name="Normal 11" xfId="42"/>
    <cellStyle name="Normal 12" xfId="43"/>
    <cellStyle name="Normal 12 2" xfId="383"/>
    <cellStyle name="Normal 13" xfId="44"/>
    <cellStyle name="Normal 14" xfId="45"/>
    <cellStyle name="Normal 15" xfId="46"/>
    <cellStyle name="Normal 16" xfId="47"/>
    <cellStyle name="Normal 17" xfId="384"/>
    <cellStyle name="Normal 2" xfId="48"/>
    <cellStyle name="Normal 2 2" xfId="49"/>
    <cellStyle name="Normal 2 2 2" xfId="50"/>
    <cellStyle name="Normal 2 2 2 2" xfId="385"/>
    <cellStyle name="Normal 2 2_6-Reaseguro SG 2010-12-----final to delte" xfId="386"/>
    <cellStyle name="Normal 2 3" xfId="51"/>
    <cellStyle name="Normal 2 4" xfId="52"/>
    <cellStyle name="Normal 2 5" xfId="387"/>
    <cellStyle name="Normal 2 6" xfId="388"/>
    <cellStyle name="Normal 2 7" xfId="389"/>
    <cellStyle name="Normal 2 8" xfId="390"/>
    <cellStyle name="Normal 2 9" xfId="391"/>
    <cellStyle name="Normal 2_6A-Reinsurance OLD---DELETE WHEN DONE" xfId="392"/>
    <cellStyle name="Normal 29" xfId="393"/>
    <cellStyle name="Normal 3" xfId="53"/>
    <cellStyle name="Normal 3 2" xfId="394"/>
    <cellStyle name="Normal 3 3" xfId="395"/>
    <cellStyle name="Normal 3_6A-Reinsurance OLD---DELETE WHEN DONE" xfId="396"/>
    <cellStyle name="Normal 394" xfId="397"/>
    <cellStyle name="Normal 4" xfId="54"/>
    <cellStyle name="Normal 4 2" xfId="398"/>
    <cellStyle name="Normal 5" xfId="55"/>
    <cellStyle name="Normal 6" xfId="56"/>
    <cellStyle name="Normal 6 2" xfId="399"/>
    <cellStyle name="Normal 7" xfId="57"/>
    <cellStyle name="Normal 8" xfId="58"/>
    <cellStyle name="Normal 8 2" xfId="400"/>
    <cellStyle name="Normal 8_6A-Reinsurance OLD---DELETE WHEN DONE" xfId="401"/>
    <cellStyle name="Normal 9" xfId="59"/>
    <cellStyle name="Normal 9 2" xfId="402"/>
    <cellStyle name="normální_laroux" xfId="403"/>
    <cellStyle name="Notas 2" xfId="404"/>
    <cellStyle name="Notas 3" xfId="405"/>
    <cellStyle name="Notas 4" xfId="406"/>
    <cellStyle name="Notas 5" xfId="407"/>
    <cellStyle name="Notas 6" xfId="408"/>
    <cellStyle name="NUEVO" xfId="409"/>
    <cellStyle name="Output Amounts" xfId="410"/>
    <cellStyle name="Output Line Items" xfId="411"/>
    <cellStyle name="Porcen - Estilo2" xfId="60"/>
    <cellStyle name="Porcen - Modelo1" xfId="61"/>
    <cellStyle name="Porcen - Modelo2" xfId="62"/>
    <cellStyle name="Porcentaje" xfId="84" builtinId="5"/>
    <cellStyle name="Porcentaje 2" xfId="63"/>
    <cellStyle name="Porcentaje 3" xfId="412"/>
    <cellStyle name="Porcentaje 4" xfId="413"/>
    <cellStyle name="Porcentual 2" xfId="64"/>
    <cellStyle name="Porcentual 2 2" xfId="65"/>
    <cellStyle name="Porcentual 3" xfId="66"/>
    <cellStyle name="Porcentual 4" xfId="67"/>
    <cellStyle name="Porcentual 5" xfId="68"/>
    <cellStyle name="Porcentual 7" xfId="69"/>
    <cellStyle name="Porcentual 7 2" xfId="70"/>
    <cellStyle name="Porcentual 8" xfId="71"/>
    <cellStyle name="Porcentual 9" xfId="72"/>
    <cellStyle name="Punto" xfId="73"/>
    <cellStyle name="Punto 2" xfId="414"/>
    <cellStyle name="Punto0" xfId="74"/>
    <cellStyle name="Punto0 - Estilo1" xfId="75"/>
    <cellStyle name="Punto0 - Estilo3" xfId="76"/>
    <cellStyle name="Punto0 - Modelo2" xfId="77"/>
    <cellStyle name="Punto0 - Modelo3" xfId="78"/>
    <cellStyle name="Punto0 10" xfId="415"/>
    <cellStyle name="Punto0 11" xfId="416"/>
    <cellStyle name="Punto0 2" xfId="79"/>
    <cellStyle name="Punto0 3" xfId="417"/>
    <cellStyle name="Punto0 4" xfId="418"/>
    <cellStyle name="Punto0 5" xfId="419"/>
    <cellStyle name="Punto0 6" xfId="420"/>
    <cellStyle name="Punto0 7" xfId="421"/>
    <cellStyle name="Punto0 8" xfId="422"/>
    <cellStyle name="Punto0 9" xfId="423"/>
    <cellStyle name="Punto0_~3997341" xfId="80"/>
    <cellStyle name="Punto1 - Estilo1" xfId="81"/>
    <cellStyle name="Punto1 - Modelo1" xfId="82"/>
    <cellStyle name="Salida 2" xfId="424"/>
    <cellStyle name="Salida 3" xfId="425"/>
    <cellStyle name="Salida 4" xfId="426"/>
    <cellStyle name="Salida 5" xfId="427"/>
    <cellStyle name="Salida 6" xfId="428"/>
    <cellStyle name="Standard_IHM98" xfId="429"/>
    <cellStyle name="Texto de advertencia 2" xfId="430"/>
    <cellStyle name="Texto de advertencia 3" xfId="431"/>
    <cellStyle name="Texto de advertencia 4" xfId="432"/>
    <cellStyle name="Texto de advertencia 5" xfId="433"/>
    <cellStyle name="Texto de advertencia 6" xfId="434"/>
    <cellStyle name="Texto explicativo 2" xfId="435"/>
    <cellStyle name="Texto explicativo 3" xfId="436"/>
    <cellStyle name="Texto explicativo 4" xfId="437"/>
    <cellStyle name="Texto explicativo 5" xfId="438"/>
    <cellStyle name="Texto explicativo 6" xfId="439"/>
    <cellStyle name="Título 1 2" xfId="440"/>
    <cellStyle name="Título 1 3" xfId="441"/>
    <cellStyle name="Título 1 4" xfId="442"/>
    <cellStyle name="Título 1 5" xfId="443"/>
    <cellStyle name="Título 1 6" xfId="444"/>
    <cellStyle name="Título 2 2" xfId="445"/>
    <cellStyle name="Título 2 3" xfId="446"/>
    <cellStyle name="Título 2 4" xfId="447"/>
    <cellStyle name="Título 2 5" xfId="448"/>
    <cellStyle name="Título 2 6" xfId="449"/>
    <cellStyle name="Título 3 2" xfId="450"/>
    <cellStyle name="Título 3 3" xfId="451"/>
    <cellStyle name="Título 3 4" xfId="452"/>
    <cellStyle name="Título 3 5" xfId="453"/>
    <cellStyle name="Título 3 6" xfId="454"/>
    <cellStyle name="Total 2" xfId="83"/>
    <cellStyle name="Total 3" xfId="455"/>
    <cellStyle name="Total 4" xfId="456"/>
    <cellStyle name="Total 5" xfId="457"/>
    <cellStyle name="Total 6" xfId="458"/>
    <cellStyle name="Währung [0]_1998" xfId="459"/>
    <cellStyle name="Währung_1998" xfId="46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elloto\SVS\Users\carinatoselli\Downloads\an1003.96534940_20100429_21024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1"/>
      <sheetName val="Anexo2"/>
      <sheetName val="A"/>
      <sheetName val="Margen"/>
      <sheetName val="Anexo9"/>
      <sheetName val="Anexo10"/>
      <sheetName val="Anexo11"/>
      <sheetName val="Anexo12"/>
      <sheetName val="Anexo13"/>
      <sheetName val="Anexo14"/>
      <sheetName val="Anexo15"/>
      <sheetName val="Anexo16"/>
      <sheetName val="Anexo17"/>
      <sheetName val="Anexo18"/>
      <sheetName val="Anexo19"/>
      <sheetName val="Anexo21"/>
      <sheetName val="Anexo22"/>
      <sheetName val="Anexo23"/>
      <sheetName val="Anexo23a"/>
    </sheetNames>
    <sheetDataSet>
      <sheetData sheetId="0"/>
      <sheetData sheetId="1" refreshError="1"/>
      <sheetData sheetId="2"/>
      <sheetData sheetId="3"/>
      <sheetData sheetId="4" refreshError="1"/>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H45"/>
  <sheetViews>
    <sheetView showGridLines="0" tabSelected="1" workbookViewId="0">
      <selection activeCell="F13" sqref="F13"/>
    </sheetView>
  </sheetViews>
  <sheetFormatPr baseColWidth="10" defaultRowHeight="15"/>
  <cols>
    <col min="2" max="2" width="48.7109375" customWidth="1"/>
    <col min="3" max="8" width="14.7109375" customWidth="1"/>
  </cols>
  <sheetData>
    <row r="2" spans="2:8" ht="20.25">
      <c r="B2" s="901" t="s">
        <v>404</v>
      </c>
      <c r="C2" s="901"/>
      <c r="D2" s="901"/>
      <c r="E2" s="901"/>
      <c r="F2" s="901"/>
      <c r="G2" s="901"/>
      <c r="H2" s="901"/>
    </row>
    <row r="3" spans="2:8" ht="20.25">
      <c r="B3" s="461"/>
      <c r="C3" s="461"/>
      <c r="D3" s="461"/>
      <c r="E3" s="492"/>
      <c r="F3" s="492"/>
      <c r="G3" s="461"/>
      <c r="H3" s="461"/>
    </row>
    <row r="4" spans="2:8" ht="60" customHeight="1">
      <c r="B4" s="902" t="s">
        <v>405</v>
      </c>
      <c r="C4" s="902"/>
      <c r="D4" s="902"/>
      <c r="E4" s="902"/>
      <c r="F4" s="902"/>
      <c r="G4" s="902"/>
      <c r="H4" s="902"/>
    </row>
    <row r="7" spans="2:8" s="41" customFormat="1" ht="15.75">
      <c r="B7" s="206" t="s">
        <v>183</v>
      </c>
    </row>
    <row r="8" spans="2:8" s="41" customFormat="1" ht="15.75">
      <c r="B8" s="206" t="s">
        <v>184</v>
      </c>
    </row>
    <row r="9" spans="2:8" s="41" customFormat="1" ht="15.75" thickBot="1"/>
    <row r="10" spans="2:8" ht="15.75" thickBot="1">
      <c r="B10" s="105" t="s">
        <v>26</v>
      </c>
      <c r="C10" s="106" t="s">
        <v>186</v>
      </c>
      <c r="D10" s="41"/>
      <c r="E10" s="561" t="s">
        <v>467</v>
      </c>
      <c r="F10" s="543" t="s">
        <v>471</v>
      </c>
    </row>
    <row r="11" spans="2:8" ht="15.75" thickBot="1">
      <c r="B11" s="107" t="s">
        <v>185</v>
      </c>
      <c r="C11" s="436">
        <v>150000000</v>
      </c>
      <c r="D11" s="41"/>
      <c r="E11" s="562">
        <f>+C41</f>
        <v>1575739465.5</v>
      </c>
      <c r="F11" s="563">
        <f>+(E11-C11)/C11</f>
        <v>9.5049297700000004</v>
      </c>
    </row>
    <row r="12" spans="2:8" ht="15.75" thickBot="1">
      <c r="B12" s="108" t="s">
        <v>195</v>
      </c>
      <c r="C12" s="437">
        <f>+E20</f>
        <v>12500000</v>
      </c>
      <c r="D12" s="41"/>
      <c r="E12" s="41"/>
      <c r="F12" s="41"/>
      <c r="G12" s="41"/>
      <c r="H12" s="41"/>
    </row>
    <row r="13" spans="2:8" ht="15.75" thickBot="1">
      <c r="B13" s="108" t="s">
        <v>196</v>
      </c>
      <c r="C13" s="437">
        <f>-E26</f>
        <v>-292500</v>
      </c>
      <c r="D13" s="41"/>
      <c r="E13" s="715" t="s">
        <v>646</v>
      </c>
      <c r="F13" s="716">
        <v>25629.09</v>
      </c>
      <c r="G13" s="41"/>
      <c r="H13" s="41"/>
    </row>
    <row r="14" spans="2:8" s="41" customFormat="1" ht="15.75" thickBot="1">
      <c r="B14" s="109" t="s">
        <v>187</v>
      </c>
      <c r="C14" s="438">
        <f>SUM(C11:C13)</f>
        <v>162207500</v>
      </c>
    </row>
    <row r="15" spans="2:8" s="41" customFormat="1"/>
    <row r="16" spans="2:8" ht="15.75" thickBot="1">
      <c r="B16" s="41"/>
      <c r="C16" s="41"/>
      <c r="D16" s="41"/>
      <c r="E16" s="41"/>
      <c r="F16" s="41"/>
      <c r="G16" s="41"/>
      <c r="H16" s="41"/>
    </row>
    <row r="17" spans="2:7" ht="15.75" thickBot="1">
      <c r="B17" s="105" t="s">
        <v>188</v>
      </c>
      <c r="C17" s="106" t="s">
        <v>466</v>
      </c>
      <c r="D17" s="106" t="s">
        <v>422</v>
      </c>
      <c r="E17" s="106" t="s">
        <v>193</v>
      </c>
    </row>
    <row r="18" spans="2:7">
      <c r="B18" s="107" t="s">
        <v>189</v>
      </c>
      <c r="C18" s="309">
        <v>64000000</v>
      </c>
      <c r="D18" s="145">
        <f>+'Cap IV CBR 4.1 Activos RF R Mat'!C8</f>
        <v>37500000</v>
      </c>
      <c r="E18" s="148">
        <f>SUM(C18:D18)</f>
        <v>101500000</v>
      </c>
    </row>
    <row r="19" spans="2:7">
      <c r="B19" s="108" t="s">
        <v>190</v>
      </c>
      <c r="C19" s="310">
        <f>+'c) BBRR'!E10</f>
        <v>75000000</v>
      </c>
      <c r="D19" s="146">
        <f>+'Cap IV CBR 4.1 Activos RF R Mat'!C9</f>
        <v>39000000</v>
      </c>
      <c r="E19" s="149">
        <f>SUM(C19:D19)</f>
        <v>114000000</v>
      </c>
    </row>
    <row r="20" spans="2:7" s="41" customFormat="1" ht="15.75" thickBot="1">
      <c r="B20" s="110" t="s">
        <v>191</v>
      </c>
      <c r="C20" s="311">
        <f>+C19-C18</f>
        <v>11000000</v>
      </c>
      <c r="D20" s="147">
        <f t="shared" ref="D20" si="0">+D19-D18</f>
        <v>1500000</v>
      </c>
      <c r="E20" s="150">
        <f>SUM(C20:D20)</f>
        <v>12500000</v>
      </c>
    </row>
    <row r="21" spans="2:7" s="41" customFormat="1"/>
    <row r="22" spans="2:7" ht="15.75" thickBot="1">
      <c r="B22" s="41"/>
      <c r="C22" s="41"/>
      <c r="D22" s="41"/>
      <c r="E22" s="41"/>
      <c r="F22" s="41"/>
      <c r="G22" s="41"/>
    </row>
    <row r="23" spans="2:7" ht="15.75" thickBot="1">
      <c r="B23" s="105" t="s">
        <v>192</v>
      </c>
      <c r="C23" s="106" t="s">
        <v>421</v>
      </c>
      <c r="D23" s="106" t="s">
        <v>516</v>
      </c>
      <c r="E23" s="106" t="s">
        <v>194</v>
      </c>
    </row>
    <row r="24" spans="2:7">
      <c r="B24" s="107" t="s">
        <v>189</v>
      </c>
      <c r="C24" s="115">
        <f>+'Cap IV CBR 4.1 Activos RF R Mat'!C6</f>
        <v>37500000</v>
      </c>
      <c r="D24" s="115"/>
      <c r="E24" s="148">
        <f>SUM(C24:D24)</f>
        <v>37500000</v>
      </c>
    </row>
    <row r="25" spans="2:7">
      <c r="B25" s="108" t="s">
        <v>190</v>
      </c>
      <c r="C25" s="116">
        <f>+'Cap IV CBR 4.1 Activos RF R Mat'!C7</f>
        <v>37792500</v>
      </c>
      <c r="D25" s="116"/>
      <c r="E25" s="149">
        <f>SUM(C25:D25)</f>
        <v>37792500</v>
      </c>
    </row>
    <row r="26" spans="2:7" ht="15.75" thickBot="1">
      <c r="B26" s="110" t="s">
        <v>191</v>
      </c>
      <c r="C26" s="117">
        <f t="shared" ref="C26" si="1">+C25-C24</f>
        <v>292500</v>
      </c>
      <c r="D26" s="117"/>
      <c r="E26" s="150">
        <f>SUM(C26:D26)</f>
        <v>292500</v>
      </c>
    </row>
    <row r="28" spans="2:7" ht="15.75" thickBot="1">
      <c r="D28" s="137"/>
    </row>
    <row r="29" spans="2:7" ht="15.75" thickBot="1">
      <c r="B29" s="580" t="s">
        <v>464</v>
      </c>
      <c r="C29" s="580" t="s">
        <v>486</v>
      </c>
    </row>
    <row r="30" spans="2:7">
      <c r="B30" s="577" t="s">
        <v>465</v>
      </c>
      <c r="C30" s="576">
        <f>+'a) Acciones'!C33</f>
        <v>36360000</v>
      </c>
    </row>
    <row r="31" spans="2:7">
      <c r="B31" s="578" t="s">
        <v>468</v>
      </c>
      <c r="C31" s="286">
        <f>+'a) CBR Crédito RF'!C33</f>
        <v>990000000</v>
      </c>
    </row>
    <row r="32" spans="2:7">
      <c r="B32" s="578" t="s">
        <v>469</v>
      </c>
      <c r="C32" s="286">
        <f>+'a) CBR Crédito RF'!H33</f>
        <v>109999999.99999999</v>
      </c>
    </row>
    <row r="33" spans="2:4">
      <c r="B33" s="578" t="s">
        <v>442</v>
      </c>
      <c r="C33" s="286">
        <f>+'b1) CBR Crédito (MHE)'!C6</f>
        <v>126400465.5</v>
      </c>
    </row>
    <row r="34" spans="2:4">
      <c r="B34" s="578" t="s">
        <v>470</v>
      </c>
      <c r="C34" s="286">
        <f>+'c) CBR Crédito (Cleas)'!C7</f>
        <v>116279000</v>
      </c>
    </row>
    <row r="35" spans="2:4">
      <c r="B35" s="578" t="s">
        <v>612</v>
      </c>
      <c r="C35" s="286">
        <f>+'b2) CBR Crédito (Préstamos)'!D6</f>
        <v>15000000</v>
      </c>
    </row>
    <row r="36" spans="2:4">
      <c r="B36" s="578" t="s">
        <v>38</v>
      </c>
      <c r="C36" s="286">
        <f>+'d) CBR Crédito PxC '!C14</f>
        <v>45000000</v>
      </c>
    </row>
    <row r="37" spans="2:4">
      <c r="B37" s="578" t="s">
        <v>498</v>
      </c>
      <c r="C37" s="286">
        <f>+'e1) CBR Crédito AxR'!C6</f>
        <v>20000000</v>
      </c>
    </row>
    <row r="38" spans="2:4">
      <c r="B38" s="578" t="s">
        <v>611</v>
      </c>
      <c r="C38" s="286">
        <f>+'g) CBR Crédito Otros'!F6</f>
        <v>10000000</v>
      </c>
    </row>
    <row r="39" spans="2:4">
      <c r="B39" s="578" t="s">
        <v>466</v>
      </c>
      <c r="C39" s="286">
        <f>+C18</f>
        <v>64000000</v>
      </c>
    </row>
    <row r="40" spans="2:4" ht="15.75" thickBot="1">
      <c r="B40" s="579" t="s">
        <v>27</v>
      </c>
      <c r="C40" s="288">
        <f>+'d) Fondos'!I7</f>
        <v>42700000</v>
      </c>
    </row>
    <row r="41" spans="2:4" ht="15.75" thickBot="1">
      <c r="B41" s="105" t="s">
        <v>464</v>
      </c>
      <c r="C41" s="575">
        <f>SUM(C30:C40)</f>
        <v>1575739465.5</v>
      </c>
      <c r="D41" s="564"/>
    </row>
    <row r="42" spans="2:4">
      <c r="C42" s="137"/>
    </row>
    <row r="43" spans="2:4">
      <c r="B43" s="590"/>
      <c r="C43" s="137"/>
    </row>
    <row r="44" spans="2:4">
      <c r="B44" s="590"/>
      <c r="C44" s="137"/>
    </row>
    <row r="45" spans="2:4">
      <c r="C45" s="137"/>
    </row>
  </sheetData>
  <mergeCells count="2">
    <mergeCell ref="B2:H2"/>
    <mergeCell ref="B4:H4"/>
  </mergeCells>
  <pageMargins left="0.70866141732283472" right="0.70866141732283472" top="0.74803149606299213" bottom="0.74803149606299213" header="0.31496062992125984" footer="0.31496062992125984"/>
  <pageSetup scale="76" orientation="portrait" verticalDpi="597"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G12"/>
  <sheetViews>
    <sheetView showGridLines="0" zoomScaleNormal="100" workbookViewId="0">
      <selection activeCell="G10" sqref="G10"/>
    </sheetView>
  </sheetViews>
  <sheetFormatPr baseColWidth="10" defaultRowHeight="15"/>
  <cols>
    <col min="1" max="1" width="4.7109375" customWidth="1"/>
    <col min="2" max="6" width="18.7109375" customWidth="1"/>
    <col min="7" max="7" width="18.5703125" customWidth="1"/>
  </cols>
  <sheetData>
    <row r="1" spans="2:7" s="41" customFormat="1">
      <c r="B1" s="201" t="s">
        <v>171</v>
      </c>
    </row>
    <row r="2" spans="2:7" s="41" customFormat="1">
      <c r="B2" s="201" t="s">
        <v>71</v>
      </c>
    </row>
    <row r="3" spans="2:7" s="41" customFormat="1" ht="15.75">
      <c r="B3" s="206" t="s">
        <v>121</v>
      </c>
      <c r="C3" s="211"/>
      <c r="D3" s="211"/>
      <c r="E3" s="211"/>
      <c r="F3" s="211"/>
      <c r="G3" s="211"/>
    </row>
    <row r="4" spans="2:7" s="41" customFormat="1" ht="15.75" thickBot="1">
      <c r="B4" s="211"/>
      <c r="C4" s="211"/>
      <c r="D4" s="211"/>
      <c r="E4" s="211"/>
      <c r="F4" s="211"/>
      <c r="G4" s="211"/>
    </row>
    <row r="5" spans="2:7" ht="15.75" thickBot="1">
      <c r="B5" s="212"/>
      <c r="C5" s="934" t="s">
        <v>109</v>
      </c>
      <c r="D5" s="935"/>
      <c r="E5" s="935"/>
      <c r="F5" s="935"/>
      <c r="G5" s="936"/>
    </row>
    <row r="6" spans="2:7" ht="38.25" customHeight="1" thickBot="1">
      <c r="B6" s="6" t="s">
        <v>16</v>
      </c>
      <c r="C6" s="8" t="s">
        <v>75</v>
      </c>
      <c r="D6" s="7" t="s">
        <v>76</v>
      </c>
      <c r="E6" s="7" t="s">
        <v>77</v>
      </c>
      <c r="F6" s="386" t="s">
        <v>325</v>
      </c>
      <c r="G6" s="10" t="s">
        <v>78</v>
      </c>
    </row>
    <row r="7" spans="2:7">
      <c r="B7" s="66" t="s">
        <v>106</v>
      </c>
      <c r="C7" s="121">
        <v>77000000</v>
      </c>
      <c r="D7" s="129">
        <v>75000000</v>
      </c>
      <c r="E7" s="129">
        <f>MIN(C7:D7)</f>
        <v>75000000</v>
      </c>
      <c r="F7" s="384">
        <f>+E7*80%</f>
        <v>60000000</v>
      </c>
      <c r="G7" s="124">
        <f>+E7-F7</f>
        <v>15000000</v>
      </c>
    </row>
    <row r="8" spans="2:7">
      <c r="B8" s="68" t="s">
        <v>107</v>
      </c>
      <c r="C8" s="122">
        <v>0</v>
      </c>
      <c r="D8" s="130">
        <v>0</v>
      </c>
      <c r="E8" s="130">
        <f t="shared" ref="E8:E9" si="0">MIN(C8:D8)</f>
        <v>0</v>
      </c>
      <c r="F8" s="387">
        <f>+E8*80%</f>
        <v>0</v>
      </c>
      <c r="G8" s="125">
        <f t="shared" ref="G8:G9" si="1">+E8-F8</f>
        <v>0</v>
      </c>
    </row>
    <row r="9" spans="2:7" ht="15.75" thickBot="1">
      <c r="B9" s="102" t="s">
        <v>108</v>
      </c>
      <c r="C9" s="133">
        <v>0</v>
      </c>
      <c r="D9" s="134">
        <v>0</v>
      </c>
      <c r="E9" s="134">
        <f t="shared" si="0"/>
        <v>0</v>
      </c>
      <c r="F9" s="388">
        <f>+E9*80%</f>
        <v>0</v>
      </c>
      <c r="G9" s="135">
        <f t="shared" si="1"/>
        <v>0</v>
      </c>
    </row>
    <row r="10" spans="2:7" ht="15.75" thickBot="1">
      <c r="B10" s="103" t="s">
        <v>105</v>
      </c>
      <c r="C10" s="119">
        <f>SUM(C7:C9)</f>
        <v>77000000</v>
      </c>
      <c r="D10" s="120">
        <f t="shared" ref="D10:F10" si="2">SUM(D7:D9)</f>
        <v>75000000</v>
      </c>
      <c r="E10" s="120">
        <f t="shared" si="2"/>
        <v>75000000</v>
      </c>
      <c r="F10" s="389">
        <f t="shared" si="2"/>
        <v>60000000</v>
      </c>
      <c r="G10" s="136">
        <f>SUM(G7:G9)</f>
        <v>15000000</v>
      </c>
    </row>
    <row r="11" spans="2:7" s="41" customFormat="1" ht="3" customHeight="1">
      <c r="B11" s="211"/>
      <c r="C11" s="211"/>
      <c r="D11" s="211"/>
      <c r="E11" s="211"/>
      <c r="F11" s="211"/>
      <c r="G11" s="211"/>
    </row>
    <row r="12" spans="2:7" s="41" customFormat="1" ht="40.5" customHeight="1">
      <c r="B12" s="937" t="s">
        <v>182</v>
      </c>
      <c r="C12" s="937"/>
      <c r="D12" s="937"/>
      <c r="E12" s="937"/>
      <c r="F12" s="937"/>
      <c r="G12" s="937"/>
    </row>
  </sheetData>
  <mergeCells count="2">
    <mergeCell ref="C5:G5"/>
    <mergeCell ref="B12:G12"/>
  </mergeCells>
  <pageMargins left="0.7" right="0.7" top="0.75" bottom="0.75" header="0.3" footer="0.3"/>
  <pageSetup scale="77" orientation="portrait" verticalDpi="597"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B1:M74"/>
  <sheetViews>
    <sheetView showGridLines="0" topLeftCell="B1" zoomScaleNormal="100" workbookViewId="0">
      <selection activeCell="I9" sqref="I9"/>
    </sheetView>
  </sheetViews>
  <sheetFormatPr baseColWidth="10" defaultRowHeight="15"/>
  <cols>
    <col min="1" max="1" width="4.7109375" style="321" customWidth="1"/>
    <col min="2" max="2" width="56.7109375" style="321" customWidth="1"/>
    <col min="3" max="9" width="16.7109375" style="321" customWidth="1"/>
    <col min="10" max="10" width="16.85546875" style="312" customWidth="1"/>
    <col min="11" max="12" width="16.85546875" style="321" customWidth="1"/>
    <col min="13" max="13" width="14.7109375" style="321" customWidth="1"/>
    <col min="14" max="16384" width="11.42578125" style="321"/>
  </cols>
  <sheetData>
    <row r="1" spans="2:13" s="312" customFormat="1">
      <c r="B1" s="219" t="s">
        <v>171</v>
      </c>
    </row>
    <row r="2" spans="2:13" s="312" customFormat="1">
      <c r="B2" s="219" t="s">
        <v>71</v>
      </c>
    </row>
    <row r="3" spans="2:13" s="312" customFormat="1" ht="15.75">
      <c r="B3" s="366" t="s">
        <v>122</v>
      </c>
      <c r="C3"/>
      <c r="D3" s="344"/>
      <c r="E3" s="344"/>
      <c r="F3" s="344"/>
      <c r="G3" s="344"/>
      <c r="H3" s="344"/>
      <c r="I3" s="344"/>
    </row>
    <row r="4" spans="2:13" s="312" customFormat="1" ht="15.75" thickBot="1">
      <c r="B4" s="219"/>
      <c r="C4" s="340"/>
      <c r="D4" s="340"/>
      <c r="E4" s="340"/>
      <c r="F4" s="340"/>
      <c r="G4" s="340"/>
      <c r="H4" s="340"/>
      <c r="I4" s="340"/>
      <c r="J4" s="412"/>
      <c r="K4" s="412"/>
      <c r="L4" s="412"/>
      <c r="M4" s="412"/>
    </row>
    <row r="5" spans="2:13" ht="15.75" thickBot="1">
      <c r="B5" s="340"/>
      <c r="C5" s="341" t="s">
        <v>125</v>
      </c>
      <c r="D5" s="342"/>
      <c r="E5" s="342"/>
      <c r="F5" s="342"/>
      <c r="G5" s="342"/>
      <c r="H5" s="343"/>
      <c r="I5" s="344"/>
    </row>
    <row r="6" spans="2:13" ht="26.25" thickBot="1">
      <c r="B6" s="97" t="s">
        <v>16</v>
      </c>
      <c r="C6" s="236" t="s">
        <v>9</v>
      </c>
      <c r="D6" s="721" t="s">
        <v>525</v>
      </c>
      <c r="E6" s="98" t="s">
        <v>10</v>
      </c>
      <c r="F6" s="98" t="s">
        <v>66</v>
      </c>
      <c r="G6" s="98" t="s">
        <v>67</v>
      </c>
      <c r="H6" s="882" t="s">
        <v>11</v>
      </c>
      <c r="I6" s="100" t="s">
        <v>105</v>
      </c>
    </row>
    <row r="7" spans="2:13">
      <c r="B7" s="313" t="s">
        <v>103</v>
      </c>
      <c r="C7" s="151">
        <f>+G15</f>
        <v>2000000</v>
      </c>
      <c r="D7" s="722">
        <f>+G27</f>
        <v>34500000</v>
      </c>
      <c r="E7" s="384">
        <f>+G34</f>
        <v>5700000</v>
      </c>
      <c r="F7" s="384">
        <f>+G41+F53</f>
        <v>0</v>
      </c>
      <c r="G7" s="413">
        <f>+G47+F60</f>
        <v>0</v>
      </c>
      <c r="H7" s="883">
        <f>+G69</f>
        <v>500000</v>
      </c>
      <c r="I7" s="316">
        <f>SUM(C7:H7)</f>
        <v>42700000</v>
      </c>
    </row>
    <row r="8" spans="2:13">
      <c r="B8" s="324" t="s">
        <v>104</v>
      </c>
      <c r="C8" s="153">
        <f>+G16</f>
        <v>1285500</v>
      </c>
      <c r="D8" s="723">
        <f>+G28</f>
        <v>27600000</v>
      </c>
      <c r="E8" s="387">
        <f>+G35</f>
        <v>3420000</v>
      </c>
      <c r="F8" s="387">
        <f>+G42+F54</f>
        <v>0</v>
      </c>
      <c r="G8" s="414">
        <f>+G48+F61</f>
        <v>0</v>
      </c>
      <c r="H8" s="884">
        <f>+G70</f>
        <v>385500</v>
      </c>
      <c r="I8" s="391">
        <f t="shared" ref="I8:I9" si="0">SUM(C8:H8)</f>
        <v>32691000</v>
      </c>
    </row>
    <row r="9" spans="2:13" ht="15.75" thickBot="1">
      <c r="B9" s="76" t="s">
        <v>5</v>
      </c>
      <c r="C9" s="158">
        <f t="shared" ref="C9:H9" si="1">+C7-C8</f>
        <v>714500</v>
      </c>
      <c r="D9" s="724">
        <f t="shared" si="1"/>
        <v>6900000</v>
      </c>
      <c r="E9" s="415">
        <f t="shared" si="1"/>
        <v>2280000</v>
      </c>
      <c r="F9" s="415">
        <f t="shared" si="1"/>
        <v>0</v>
      </c>
      <c r="G9" s="415">
        <f t="shared" si="1"/>
        <v>0</v>
      </c>
      <c r="H9" s="885">
        <f t="shared" si="1"/>
        <v>114500</v>
      </c>
      <c r="I9" s="319">
        <f t="shared" si="0"/>
        <v>10009000</v>
      </c>
      <c r="J9" s="416"/>
    </row>
    <row r="10" spans="2:13" s="312" customFormat="1" ht="3" customHeight="1">
      <c r="B10" s="221"/>
      <c r="C10" s="320"/>
      <c r="D10" s="320"/>
      <c r="E10" s="320"/>
      <c r="F10" s="320"/>
      <c r="G10" s="320"/>
      <c r="H10" s="320"/>
      <c r="I10" s="320"/>
    </row>
    <row r="11" spans="2:13" s="312" customFormat="1" ht="35.25" customHeight="1">
      <c r="B11" s="938" t="s">
        <v>160</v>
      </c>
      <c r="C11" s="938"/>
      <c r="D11" s="938"/>
      <c r="E11" s="938"/>
      <c r="F11" s="938"/>
      <c r="G11" s="938"/>
      <c r="H11" s="938"/>
      <c r="I11" s="938"/>
      <c r="J11" s="412"/>
      <c r="K11" s="412"/>
      <c r="L11" s="412"/>
      <c r="M11" s="412"/>
    </row>
    <row r="12" spans="2:13" s="312" customFormat="1" ht="9" customHeight="1" thickBot="1">
      <c r="B12" s="340"/>
      <c r="C12" s="340"/>
      <c r="D12" s="340"/>
      <c r="E12" s="340"/>
      <c r="F12" s="340"/>
      <c r="G12" s="340"/>
      <c r="H12" s="340"/>
      <c r="I12" s="340"/>
      <c r="J12" s="412"/>
      <c r="K12" s="412"/>
      <c r="L12" s="412"/>
      <c r="M12" s="412"/>
    </row>
    <row r="13" spans="2:13" ht="15.75" thickBot="1">
      <c r="B13" s="97" t="s">
        <v>141</v>
      </c>
      <c r="C13" s="341" t="s">
        <v>123</v>
      </c>
      <c r="D13" s="342"/>
      <c r="E13" s="342"/>
      <c r="F13" s="343"/>
      <c r="G13" s="344"/>
      <c r="H13" s="344"/>
      <c r="I13" s="344"/>
    </row>
    <row r="14" spans="2:13" ht="26.25" thickBot="1">
      <c r="B14" s="97" t="s">
        <v>16</v>
      </c>
      <c r="C14" s="236" t="s">
        <v>484</v>
      </c>
      <c r="D14" s="237" t="s">
        <v>485</v>
      </c>
      <c r="E14" s="237" t="s">
        <v>14</v>
      </c>
      <c r="F14" s="99" t="s">
        <v>220</v>
      </c>
      <c r="G14" s="100" t="s">
        <v>105</v>
      </c>
      <c r="H14" s="371"/>
      <c r="I14" s="344"/>
    </row>
    <row r="15" spans="2:13">
      <c r="B15" s="313" t="s">
        <v>103</v>
      </c>
      <c r="C15" s="500">
        <v>500000</v>
      </c>
      <c r="D15" s="501">
        <v>1500000</v>
      </c>
      <c r="E15" s="152"/>
      <c r="F15" s="315"/>
      <c r="G15" s="316">
        <f>SUM(C15:F15)</f>
        <v>2000000</v>
      </c>
      <c r="H15" s="344"/>
      <c r="I15" s="344"/>
    </row>
    <row r="16" spans="2:13">
      <c r="B16" s="324" t="s">
        <v>104</v>
      </c>
      <c r="C16" s="502">
        <f>+C15*(1-C17)</f>
        <v>385500</v>
      </c>
      <c r="D16" s="503">
        <f>+D15*(1-D17)</f>
        <v>900000</v>
      </c>
      <c r="E16" s="154"/>
      <c r="F16" s="390"/>
      <c r="G16" s="391">
        <f>SUM(C16:F16)</f>
        <v>1285500</v>
      </c>
      <c r="H16" s="344"/>
      <c r="I16" s="344"/>
    </row>
    <row r="17" spans="2:9">
      <c r="B17" s="324" t="s">
        <v>669</v>
      </c>
      <c r="C17" s="846">
        <f>+'a) Acciones'!E7</f>
        <v>0.22900000000000001</v>
      </c>
      <c r="D17" s="847">
        <f>+'a) Acciones'!E25</f>
        <v>0.4</v>
      </c>
      <c r="E17" s="156"/>
      <c r="F17" s="417"/>
      <c r="G17" s="391"/>
      <c r="H17" s="344"/>
      <c r="I17" s="344"/>
    </row>
    <row r="18" spans="2:9">
      <c r="B18" s="324" t="s">
        <v>161</v>
      </c>
      <c r="C18" s="504">
        <v>1</v>
      </c>
      <c r="D18" s="505"/>
      <c r="E18" s="157"/>
      <c r="F18" s="417"/>
      <c r="G18" s="391"/>
      <c r="H18" s="344"/>
      <c r="I18" s="344"/>
    </row>
    <row r="19" spans="2:9">
      <c r="B19" s="324" t="s">
        <v>162</v>
      </c>
      <c r="C19" s="504"/>
      <c r="D19" s="505">
        <v>1</v>
      </c>
      <c r="E19" s="157"/>
      <c r="F19" s="417"/>
      <c r="G19" s="391"/>
      <c r="H19" s="344"/>
      <c r="I19" s="344"/>
    </row>
    <row r="20" spans="2:9">
      <c r="B20" s="324" t="s">
        <v>163</v>
      </c>
      <c r="C20" s="155"/>
      <c r="D20" s="157"/>
      <c r="E20" s="157"/>
      <c r="F20" s="417"/>
      <c r="G20" s="391"/>
      <c r="H20" s="344"/>
      <c r="I20" s="344"/>
    </row>
    <row r="21" spans="2:9" ht="15.75" thickBot="1">
      <c r="B21" s="76" t="s">
        <v>5</v>
      </c>
      <c r="C21" s="506">
        <f>+C15*C17</f>
        <v>114500</v>
      </c>
      <c r="D21" s="507">
        <f>+D15*D17</f>
        <v>600000</v>
      </c>
      <c r="E21" s="159"/>
      <c r="F21" s="318"/>
      <c r="G21" s="319">
        <f>SUM(C21:F21)</f>
        <v>714500</v>
      </c>
      <c r="H21" s="344"/>
      <c r="I21" s="344"/>
    </row>
    <row r="22" spans="2:9" s="312" customFormat="1" ht="3" customHeight="1">
      <c r="B22" s="221"/>
      <c r="C22" s="320"/>
      <c r="D22" s="320"/>
      <c r="E22" s="320"/>
      <c r="F22" s="320"/>
      <c r="G22" s="320"/>
      <c r="H22" s="344"/>
      <c r="I22" s="344"/>
    </row>
    <row r="23" spans="2:9" s="312" customFormat="1">
      <c r="B23" s="219" t="s">
        <v>315</v>
      </c>
      <c r="C23" s="320"/>
      <c r="D23" s="320"/>
      <c r="E23" s="320"/>
      <c r="F23" s="320"/>
      <c r="G23" s="320"/>
      <c r="H23" s="344"/>
      <c r="I23" s="344"/>
    </row>
    <row r="24" spans="2:9" s="312" customFormat="1" ht="9" customHeight="1" thickBot="1">
      <c r="B24" s="344"/>
      <c r="C24" s="344"/>
      <c r="D24" s="344"/>
      <c r="E24" s="344"/>
      <c r="F24" s="344"/>
      <c r="G24" s="344"/>
      <c r="H24" s="344"/>
      <c r="I24" s="344"/>
    </row>
    <row r="25" spans="2:9" ht="15.75" thickBot="1">
      <c r="B25" s="97" t="s">
        <v>142</v>
      </c>
      <c r="C25" s="341" t="s">
        <v>524</v>
      </c>
      <c r="D25" s="342"/>
      <c r="E25" s="342"/>
      <c r="F25" s="343"/>
      <c r="G25" s="344"/>
      <c r="H25" s="344"/>
      <c r="I25" s="344"/>
    </row>
    <row r="26" spans="2:9" ht="26.25" thickBot="1">
      <c r="B26" s="97" t="s">
        <v>16</v>
      </c>
      <c r="C26" s="236" t="s">
        <v>500</v>
      </c>
      <c r="D26" s="690" t="s">
        <v>539</v>
      </c>
      <c r="E26" s="237" t="s">
        <v>14</v>
      </c>
      <c r="F26" s="99" t="s">
        <v>220</v>
      </c>
      <c r="G26" s="100" t="s">
        <v>105</v>
      </c>
      <c r="H26" s="344"/>
      <c r="I26" s="344"/>
    </row>
    <row r="27" spans="2:9">
      <c r="B27" s="313" t="s">
        <v>103</v>
      </c>
      <c r="C27" s="121">
        <v>20000000</v>
      </c>
      <c r="D27" s="691">
        <v>14500000</v>
      </c>
      <c r="E27" s="418"/>
      <c r="F27" s="399"/>
      <c r="G27" s="419">
        <f>SUM(C27:F27)</f>
        <v>34500000</v>
      </c>
      <c r="H27" s="344"/>
      <c r="I27" s="344"/>
    </row>
    <row r="28" spans="2:9">
      <c r="B28" s="324" t="s">
        <v>104</v>
      </c>
      <c r="C28" s="122">
        <f>+C27*(1-C29)</f>
        <v>16000000</v>
      </c>
      <c r="D28" s="692">
        <f>+D27*(1-D29)</f>
        <v>11600000</v>
      </c>
      <c r="E28" s="420"/>
      <c r="F28" s="402"/>
      <c r="G28" s="421">
        <f>SUM(C28:F28)</f>
        <v>27600000</v>
      </c>
      <c r="H28" s="344"/>
      <c r="I28" s="344"/>
    </row>
    <row r="29" spans="2:9">
      <c r="B29" s="324" t="s">
        <v>6</v>
      </c>
      <c r="C29" s="155">
        <v>0.2</v>
      </c>
      <c r="D29" s="693">
        <v>0.2</v>
      </c>
      <c r="E29" s="157">
        <v>0.2</v>
      </c>
      <c r="F29" s="417">
        <v>0.2</v>
      </c>
      <c r="G29" s="421"/>
      <c r="H29" s="344"/>
      <c r="I29" s="344"/>
    </row>
    <row r="30" spans="2:9" ht="15.75" thickBot="1">
      <c r="B30" s="76" t="s">
        <v>5</v>
      </c>
      <c r="C30" s="158">
        <f>+C27-C28</f>
        <v>4000000</v>
      </c>
      <c r="D30" s="694">
        <f>+D27-D28</f>
        <v>2900000</v>
      </c>
      <c r="E30" s="422"/>
      <c r="F30" s="351"/>
      <c r="G30" s="195">
        <f>SUM(C30:F30)</f>
        <v>6900000</v>
      </c>
      <c r="H30" s="344"/>
      <c r="I30" s="344"/>
    </row>
    <row r="31" spans="2:9" s="312" customFormat="1" ht="9" customHeight="1" thickBot="1">
      <c r="B31" s="344"/>
      <c r="C31" s="344"/>
      <c r="D31" s="344"/>
      <c r="E31" s="344"/>
      <c r="F31" s="344"/>
      <c r="G31" s="344"/>
      <c r="H31" s="344"/>
      <c r="I31" s="344"/>
    </row>
    <row r="32" spans="2:9" ht="15.75" thickBot="1">
      <c r="B32" s="97" t="s">
        <v>143</v>
      </c>
      <c r="C32" s="341" t="s">
        <v>124</v>
      </c>
      <c r="D32" s="342"/>
      <c r="E32" s="342"/>
      <c r="F32" s="343"/>
      <c r="G32" s="344"/>
      <c r="H32" s="344"/>
      <c r="I32" s="344"/>
    </row>
    <row r="33" spans="2:12" ht="15.75" thickBot="1">
      <c r="B33" s="97" t="s">
        <v>16</v>
      </c>
      <c r="C33" s="236" t="s">
        <v>12</v>
      </c>
      <c r="D33" s="237" t="s">
        <v>13</v>
      </c>
      <c r="E33" s="237" t="s">
        <v>14</v>
      </c>
      <c r="F33" s="99" t="s">
        <v>220</v>
      </c>
      <c r="G33" s="100" t="s">
        <v>105</v>
      </c>
      <c r="H33" s="344"/>
      <c r="I33" s="344"/>
    </row>
    <row r="34" spans="2:12">
      <c r="B34" s="313" t="s">
        <v>103</v>
      </c>
      <c r="C34" s="121">
        <v>5700000</v>
      </c>
      <c r="D34" s="418"/>
      <c r="E34" s="418"/>
      <c r="F34" s="399"/>
      <c r="G34" s="419">
        <f>SUM(C34:F34)</f>
        <v>5700000</v>
      </c>
      <c r="H34" s="219" t="s">
        <v>501</v>
      </c>
      <c r="I34" s="344"/>
    </row>
    <row r="35" spans="2:12">
      <c r="B35" s="324" t="s">
        <v>104</v>
      </c>
      <c r="C35" s="122">
        <f>+C34*(1-C36)</f>
        <v>3420000</v>
      </c>
      <c r="D35" s="420"/>
      <c r="E35" s="420"/>
      <c r="F35" s="402"/>
      <c r="G35" s="421">
        <f>SUM(C35:F35)</f>
        <v>3420000</v>
      </c>
      <c r="H35" s="344"/>
      <c r="I35" s="344"/>
    </row>
    <row r="36" spans="2:12">
      <c r="B36" s="324" t="s">
        <v>6</v>
      </c>
      <c r="C36" s="155">
        <v>0.4</v>
      </c>
      <c r="D36" s="157">
        <v>0.4</v>
      </c>
      <c r="E36" s="157">
        <v>0.4</v>
      </c>
      <c r="F36" s="417">
        <v>0.4</v>
      </c>
      <c r="G36" s="421"/>
      <c r="H36" s="344"/>
      <c r="I36" s="344"/>
    </row>
    <row r="37" spans="2:12" ht="15.75" thickBot="1">
      <c r="B37" s="76" t="s">
        <v>5</v>
      </c>
      <c r="C37" s="158">
        <f>+C34-C35</f>
        <v>2280000</v>
      </c>
      <c r="D37" s="422"/>
      <c r="E37" s="422"/>
      <c r="F37" s="351"/>
      <c r="G37" s="195">
        <f>SUM(C37:F37)</f>
        <v>2280000</v>
      </c>
      <c r="H37" s="344"/>
      <c r="I37" s="344"/>
    </row>
    <row r="38" spans="2:12" s="312" customFormat="1" ht="9" customHeight="1" thickBot="1">
      <c r="B38" s="344"/>
      <c r="C38" s="344"/>
      <c r="D38" s="344"/>
      <c r="E38" s="344"/>
      <c r="F38" s="344"/>
      <c r="G38" s="344"/>
      <c r="H38" s="344"/>
      <c r="I38" s="344"/>
    </row>
    <row r="39" spans="2:12" ht="15.75" thickBot="1">
      <c r="B39" s="97" t="s">
        <v>144</v>
      </c>
      <c r="C39" s="341" t="s">
        <v>164</v>
      </c>
      <c r="D39" s="342"/>
      <c r="E39" s="342"/>
      <c r="F39" s="343"/>
      <c r="G39" s="344"/>
      <c r="H39" s="344"/>
      <c r="I39" s="344"/>
      <c r="J39" s="344"/>
    </row>
    <row r="40" spans="2:12" ht="15.75" thickBot="1">
      <c r="B40" s="97" t="s">
        <v>16</v>
      </c>
      <c r="C40" s="236" t="s">
        <v>46</v>
      </c>
      <c r="D40" s="98" t="s">
        <v>2</v>
      </c>
      <c r="E40" s="98" t="s">
        <v>3</v>
      </c>
      <c r="F40" s="99" t="s">
        <v>201</v>
      </c>
      <c r="G40" s="100" t="s">
        <v>105</v>
      </c>
      <c r="H40" s="344"/>
      <c r="I40" s="344"/>
      <c r="J40" s="344"/>
      <c r="L40" s="423"/>
    </row>
    <row r="41" spans="2:12">
      <c r="B41" s="313" t="s">
        <v>103</v>
      </c>
      <c r="C41" s="383"/>
      <c r="D41" s="152"/>
      <c r="E41" s="418"/>
      <c r="F41" s="419"/>
      <c r="G41" s="419">
        <f t="shared" ref="G41:G43" si="2">SUM(C41:F41)</f>
        <v>0</v>
      </c>
      <c r="H41" s="371"/>
      <c r="I41" s="344"/>
      <c r="J41" s="344"/>
      <c r="L41" s="423"/>
    </row>
    <row r="42" spans="2:12">
      <c r="B42" s="324" t="s">
        <v>104</v>
      </c>
      <c r="C42" s="400"/>
      <c r="D42" s="154"/>
      <c r="E42" s="420"/>
      <c r="F42" s="421"/>
      <c r="G42" s="421">
        <f t="shared" si="2"/>
        <v>0</v>
      </c>
      <c r="H42" s="371"/>
      <c r="I42" s="344"/>
      <c r="J42" s="344"/>
      <c r="L42" s="423"/>
    </row>
    <row r="43" spans="2:12" ht="15.75" thickBot="1">
      <c r="B43" s="76" t="s">
        <v>5</v>
      </c>
      <c r="C43" s="350"/>
      <c r="D43" s="159"/>
      <c r="E43" s="422"/>
      <c r="F43" s="195"/>
      <c r="G43" s="195">
        <f t="shared" si="2"/>
        <v>0</v>
      </c>
      <c r="H43" s="371"/>
      <c r="I43" s="344"/>
      <c r="J43" s="344"/>
      <c r="L43" s="424"/>
    </row>
    <row r="44" spans="2:12" s="312" customFormat="1" ht="9" customHeight="1" thickBot="1">
      <c r="B44" s="221"/>
      <c r="C44" s="320"/>
      <c r="D44" s="320"/>
      <c r="E44" s="320"/>
      <c r="F44" s="320"/>
      <c r="G44" s="344"/>
      <c r="H44" s="344"/>
      <c r="I44" s="344"/>
    </row>
    <row r="45" spans="2:12" ht="15.75" thickBot="1">
      <c r="B45" s="97" t="s">
        <v>145</v>
      </c>
      <c r="C45" s="341" t="s">
        <v>165</v>
      </c>
      <c r="D45" s="342"/>
      <c r="E45" s="342"/>
      <c r="F45" s="343"/>
      <c r="G45" s="344"/>
      <c r="H45" s="344"/>
      <c r="I45" s="344"/>
      <c r="J45" s="344"/>
    </row>
    <row r="46" spans="2:12" ht="15.75" thickBot="1">
      <c r="B46" s="97" t="s">
        <v>16</v>
      </c>
      <c r="C46" s="236" t="s">
        <v>46</v>
      </c>
      <c r="D46" s="98" t="s">
        <v>2</v>
      </c>
      <c r="E46" s="98" t="s">
        <v>3</v>
      </c>
      <c r="F46" s="99" t="s">
        <v>201</v>
      </c>
      <c r="G46" s="100" t="s">
        <v>105</v>
      </c>
      <c r="H46" s="371"/>
      <c r="I46" s="344"/>
      <c r="J46" s="344"/>
      <c r="L46" s="423"/>
    </row>
    <row r="47" spans="2:12">
      <c r="B47" s="313" t="s">
        <v>103</v>
      </c>
      <c r="C47" s="383"/>
      <c r="D47" s="152"/>
      <c r="E47" s="152"/>
      <c r="F47" s="419"/>
      <c r="G47" s="419">
        <f t="shared" ref="G47:G49" si="3">SUM(C47:F47)</f>
        <v>0</v>
      </c>
      <c r="H47" s="312"/>
      <c r="I47" s="312"/>
      <c r="J47" s="344"/>
      <c r="L47" s="423"/>
    </row>
    <row r="48" spans="2:12">
      <c r="B48" s="324" t="s">
        <v>104</v>
      </c>
      <c r="C48" s="400"/>
      <c r="D48" s="154"/>
      <c r="E48" s="154"/>
      <c r="F48" s="421"/>
      <c r="G48" s="421">
        <f t="shared" si="3"/>
        <v>0</v>
      </c>
      <c r="H48" s="344"/>
      <c r="I48" s="344"/>
      <c r="J48" s="344"/>
      <c r="L48" s="423"/>
    </row>
    <row r="49" spans="2:12" ht="15.75" thickBot="1">
      <c r="B49" s="76" t="s">
        <v>5</v>
      </c>
      <c r="C49" s="350"/>
      <c r="D49" s="159"/>
      <c r="E49" s="159"/>
      <c r="F49" s="195"/>
      <c r="G49" s="195">
        <f t="shared" si="3"/>
        <v>0</v>
      </c>
      <c r="H49" s="344"/>
      <c r="I49" s="344"/>
      <c r="J49" s="344"/>
      <c r="L49" s="423"/>
    </row>
    <row r="50" spans="2:12" s="312" customFormat="1" ht="9" customHeight="1" thickBot="1">
      <c r="B50" s="344"/>
      <c r="C50" s="344"/>
      <c r="D50" s="344"/>
      <c r="E50" s="344"/>
      <c r="F50" s="344"/>
      <c r="G50" s="344"/>
      <c r="H50" s="344"/>
      <c r="I50" s="344"/>
    </row>
    <row r="51" spans="2:12" ht="15.75" thickBot="1">
      <c r="B51" s="97" t="s">
        <v>146</v>
      </c>
      <c r="C51" s="341" t="s">
        <v>166</v>
      </c>
      <c r="D51" s="342"/>
      <c r="E51" s="343"/>
      <c r="F51" s="344"/>
      <c r="G51" s="344"/>
      <c r="H51" s="344"/>
      <c r="I51" s="344"/>
      <c r="K51" s="425"/>
    </row>
    <row r="52" spans="2:12" ht="15.75" thickBot="1">
      <c r="B52" s="97" t="s">
        <v>16</v>
      </c>
      <c r="C52" s="236" t="s">
        <v>45</v>
      </c>
      <c r="D52" s="98" t="s">
        <v>46</v>
      </c>
      <c r="E52" s="99" t="s">
        <v>47</v>
      </c>
      <c r="F52" s="100" t="s">
        <v>105</v>
      </c>
      <c r="G52" s="344"/>
      <c r="H52" s="344"/>
      <c r="I52" s="344"/>
      <c r="K52" s="426"/>
    </row>
    <row r="53" spans="2:12">
      <c r="B53" s="313" t="s">
        <v>103</v>
      </c>
      <c r="C53" s="151"/>
      <c r="D53" s="152"/>
      <c r="E53" s="316"/>
      <c r="F53" s="316">
        <f>SUM(C53:E53)</f>
        <v>0</v>
      </c>
      <c r="G53" s="344"/>
      <c r="H53" s="344"/>
      <c r="I53" s="344"/>
    </row>
    <row r="54" spans="2:12">
      <c r="B54" s="324" t="s">
        <v>104</v>
      </c>
      <c r="C54" s="153"/>
      <c r="D54" s="154"/>
      <c r="E54" s="391"/>
      <c r="F54" s="391">
        <f>SUM(C54:E54)</f>
        <v>0</v>
      </c>
      <c r="G54" s="344"/>
      <c r="H54" s="344"/>
      <c r="I54" s="344"/>
    </row>
    <row r="55" spans="2:12">
      <c r="B55" s="324" t="s">
        <v>6</v>
      </c>
      <c r="C55" s="194">
        <v>5.0000000000000001E-3</v>
      </c>
      <c r="D55" s="427">
        <v>0.02</v>
      </c>
      <c r="E55" s="428">
        <v>0.05</v>
      </c>
      <c r="F55" s="391"/>
      <c r="G55" s="344"/>
      <c r="H55" s="344"/>
      <c r="I55" s="344"/>
    </row>
    <row r="56" spans="2:12" ht="15.75" thickBot="1">
      <c r="B56" s="76" t="s">
        <v>5</v>
      </c>
      <c r="C56" s="158"/>
      <c r="D56" s="159"/>
      <c r="E56" s="319"/>
      <c r="F56" s="319">
        <f>SUM(C56:E56)</f>
        <v>0</v>
      </c>
      <c r="G56" s="344"/>
      <c r="H56" s="344"/>
      <c r="I56" s="344"/>
    </row>
    <row r="57" spans="2:12" s="312" customFormat="1" ht="9" customHeight="1" thickBot="1">
      <c r="B57" s="221"/>
      <c r="C57" s="320"/>
      <c r="D57" s="320"/>
      <c r="E57" s="320"/>
      <c r="F57" s="320"/>
      <c r="G57" s="344"/>
      <c r="H57" s="344"/>
      <c r="I57" s="344"/>
    </row>
    <row r="58" spans="2:12" ht="15.75" thickBot="1">
      <c r="B58" s="97" t="s">
        <v>147</v>
      </c>
      <c r="C58" s="341" t="s">
        <v>167</v>
      </c>
      <c r="D58" s="342"/>
      <c r="E58" s="343"/>
      <c r="F58" s="344"/>
      <c r="G58" s="344"/>
      <c r="H58" s="344"/>
      <c r="I58" s="344"/>
    </row>
    <row r="59" spans="2:12" ht="15.75" thickBot="1">
      <c r="B59" s="97" t="s">
        <v>16</v>
      </c>
      <c r="C59" s="236" t="s">
        <v>45</v>
      </c>
      <c r="D59" s="98" t="s">
        <v>46</v>
      </c>
      <c r="E59" s="99" t="s">
        <v>47</v>
      </c>
      <c r="F59" s="100" t="s">
        <v>105</v>
      </c>
      <c r="G59" s="344"/>
      <c r="H59" s="344"/>
      <c r="I59" s="344"/>
    </row>
    <row r="60" spans="2:12">
      <c r="B60" s="313" t="s">
        <v>103</v>
      </c>
      <c r="C60" s="151"/>
      <c r="D60" s="418"/>
      <c r="E60" s="316"/>
      <c r="F60" s="316">
        <f>SUM(C60:E60)</f>
        <v>0</v>
      </c>
      <c r="G60" s="371"/>
      <c r="H60" s="344"/>
      <c r="I60" s="344"/>
    </row>
    <row r="61" spans="2:12">
      <c r="B61" s="324" t="s">
        <v>104</v>
      </c>
      <c r="C61" s="153"/>
      <c r="D61" s="420"/>
      <c r="E61" s="391"/>
      <c r="F61" s="391">
        <f>SUM(C61:E61)</f>
        <v>0</v>
      </c>
      <c r="G61" s="344"/>
      <c r="H61" s="344"/>
      <c r="I61" s="344"/>
    </row>
    <row r="62" spans="2:12">
      <c r="B62" s="324" t="s">
        <v>6</v>
      </c>
      <c r="C62" s="194">
        <v>5.0000000000000001E-3</v>
      </c>
      <c r="D62" s="427">
        <v>0.02</v>
      </c>
      <c r="E62" s="428">
        <v>0.05</v>
      </c>
      <c r="F62" s="391"/>
      <c r="G62" s="344"/>
      <c r="H62" s="344"/>
      <c r="I62" s="344"/>
    </row>
    <row r="63" spans="2:12" ht="15.75" thickBot="1">
      <c r="B63" s="76" t="s">
        <v>5</v>
      </c>
      <c r="C63" s="158"/>
      <c r="D63" s="422"/>
      <c r="E63" s="319"/>
      <c r="F63" s="319">
        <f>SUM(C63:E63)</f>
        <v>0</v>
      </c>
      <c r="G63" s="344"/>
      <c r="H63" s="344"/>
      <c r="I63" s="344"/>
    </row>
    <row r="64" spans="2:12" s="312" customFormat="1" ht="3" customHeight="1">
      <c r="B64" s="344"/>
      <c r="C64" s="344"/>
      <c r="D64" s="344"/>
      <c r="E64" s="344"/>
      <c r="F64" s="344"/>
      <c r="G64" s="344"/>
      <c r="H64" s="344"/>
      <c r="I64" s="344"/>
    </row>
    <row r="65" spans="2:9" s="312" customFormat="1">
      <c r="B65" s="220" t="s">
        <v>126</v>
      </c>
      <c r="C65" s="344"/>
      <c r="D65" s="344"/>
      <c r="E65" s="344"/>
      <c r="F65" s="344"/>
      <c r="G65" s="344"/>
      <c r="H65" s="344"/>
      <c r="I65" s="344"/>
    </row>
    <row r="66" spans="2:9" s="312" customFormat="1" ht="9" customHeight="1" thickBot="1">
      <c r="B66" s="344"/>
      <c r="C66" s="344"/>
      <c r="D66" s="344"/>
      <c r="E66" s="344"/>
      <c r="F66" s="344"/>
      <c r="G66" s="344"/>
      <c r="H66" s="344"/>
      <c r="I66" s="344"/>
    </row>
    <row r="67" spans="2:9" ht="15.75" thickBot="1">
      <c r="B67" s="97" t="s">
        <v>148</v>
      </c>
      <c r="C67" s="341" t="s">
        <v>11</v>
      </c>
      <c r="D67" s="342"/>
      <c r="E67" s="342"/>
      <c r="F67" s="343"/>
      <c r="G67" s="344"/>
      <c r="H67" s="344"/>
      <c r="I67" s="344"/>
    </row>
    <row r="68" spans="2:9" ht="51.75" thickBot="1">
      <c r="B68" s="97" t="s">
        <v>16</v>
      </c>
      <c r="C68" s="877" t="s">
        <v>675</v>
      </c>
      <c r="D68" s="237" t="s">
        <v>13</v>
      </c>
      <c r="E68" s="237" t="s">
        <v>14</v>
      </c>
      <c r="F68" s="99" t="s">
        <v>220</v>
      </c>
      <c r="G68" s="100" t="s">
        <v>105</v>
      </c>
      <c r="H68" s="344"/>
      <c r="I68" s="344"/>
    </row>
    <row r="69" spans="2:9">
      <c r="B69" s="313" t="s">
        <v>103</v>
      </c>
      <c r="C69" s="878">
        <v>500000</v>
      </c>
      <c r="D69" s="152"/>
      <c r="E69" s="152"/>
      <c r="F69" s="315"/>
      <c r="G69" s="419">
        <f>SUM(C69:F69)</f>
        <v>500000</v>
      </c>
      <c r="H69" s="344"/>
      <c r="I69" s="344"/>
    </row>
    <row r="70" spans="2:9">
      <c r="B70" s="324" t="s">
        <v>104</v>
      </c>
      <c r="C70" s="879">
        <f>+C69*(1-C71)</f>
        <v>385500</v>
      </c>
      <c r="D70" s="154"/>
      <c r="E70" s="154"/>
      <c r="F70" s="390"/>
      <c r="G70" s="421">
        <f>SUM(C70:F70)</f>
        <v>385500</v>
      </c>
      <c r="H70" s="344"/>
      <c r="I70" s="344"/>
    </row>
    <row r="71" spans="2:9">
      <c r="B71" s="324" t="s">
        <v>670</v>
      </c>
      <c r="C71" s="880">
        <f>+C17</f>
        <v>0.22900000000000001</v>
      </c>
      <c r="D71" s="508">
        <v>0.4</v>
      </c>
      <c r="E71" s="508">
        <v>0.4</v>
      </c>
      <c r="F71" s="509">
        <v>0.4</v>
      </c>
      <c r="G71" s="421"/>
      <c r="H71" s="344"/>
      <c r="I71" s="344"/>
    </row>
    <row r="72" spans="2:9" ht="15.75" thickBot="1">
      <c r="B72" s="76" t="s">
        <v>5</v>
      </c>
      <c r="C72" s="881">
        <f>+C69-C70</f>
        <v>114500</v>
      </c>
      <c r="D72" s="159"/>
      <c r="E72" s="159"/>
      <c r="F72" s="318"/>
      <c r="G72" s="195">
        <f>SUM(C72:F72)</f>
        <v>114500</v>
      </c>
      <c r="H72" s="344"/>
      <c r="I72" s="344"/>
    </row>
    <row r="73" spans="2:9" ht="2.25" customHeight="1"/>
    <row r="74" spans="2:9">
      <c r="B74" s="924" t="s">
        <v>671</v>
      </c>
      <c r="C74" s="924"/>
      <c r="D74" s="924"/>
      <c r="E74" s="924"/>
      <c r="F74" s="924"/>
      <c r="G74" s="924"/>
    </row>
  </sheetData>
  <mergeCells count="2">
    <mergeCell ref="B11:I11"/>
    <mergeCell ref="B74:G74"/>
  </mergeCells>
  <pageMargins left="0.7" right="0.7" top="0.75" bottom="0.75" header="0.3" footer="0.3"/>
  <pageSetup scale="41" orientation="portrait" verticalDpi="597"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B1:K31"/>
  <sheetViews>
    <sheetView showGridLines="0" topLeftCell="A4" zoomScaleNormal="100" workbookViewId="0">
      <selection activeCell="E16" sqref="E16"/>
    </sheetView>
  </sheetViews>
  <sheetFormatPr baseColWidth="10" defaultRowHeight="15"/>
  <cols>
    <col min="1" max="1" width="4.7109375" customWidth="1"/>
    <col min="2" max="2" width="70.7109375" customWidth="1"/>
    <col min="3" max="9" width="15.7109375" customWidth="1"/>
  </cols>
  <sheetData>
    <row r="1" spans="2:11" s="41" customFormat="1">
      <c r="B1" s="201" t="s">
        <v>171</v>
      </c>
    </row>
    <row r="2" spans="2:11" s="41" customFormat="1">
      <c r="B2" s="201" t="s">
        <v>71</v>
      </c>
    </row>
    <row r="3" spans="2:11" s="41" customFormat="1" ht="15.75">
      <c r="B3" s="206" t="s">
        <v>149</v>
      </c>
      <c r="C3" s="211"/>
      <c r="D3" s="211"/>
      <c r="E3" s="211"/>
      <c r="F3" s="211"/>
      <c r="G3" s="211"/>
      <c r="H3" s="211"/>
    </row>
    <row r="4" spans="2:11" s="41" customFormat="1" ht="15.75" thickBot="1">
      <c r="B4" s="211"/>
      <c r="C4" s="211"/>
      <c r="D4" s="211"/>
      <c r="E4" s="211"/>
      <c r="F4" s="211"/>
      <c r="G4" s="211"/>
      <c r="H4" s="211"/>
    </row>
    <row r="5" spans="2:11" ht="15.75" thickBot="1">
      <c r="B5" s="212"/>
      <c r="C5" s="3" t="s">
        <v>58</v>
      </c>
      <c r="D5" s="4"/>
      <c r="E5" s="4"/>
      <c r="F5" s="5"/>
      <c r="G5" s="5"/>
      <c r="H5" s="5"/>
      <c r="I5" s="211"/>
    </row>
    <row r="6" spans="2:11" ht="26.25" thickBot="1">
      <c r="B6" s="6" t="s">
        <v>16</v>
      </c>
      <c r="C6" s="8" t="s">
        <v>59</v>
      </c>
      <c r="D6" s="7" t="s">
        <v>60</v>
      </c>
      <c r="E6" s="7" t="s">
        <v>61</v>
      </c>
      <c r="F6" s="7" t="s">
        <v>127</v>
      </c>
      <c r="G6" s="9" t="s">
        <v>129</v>
      </c>
      <c r="H6" s="99" t="s">
        <v>199</v>
      </c>
      <c r="I6" s="40" t="s">
        <v>105</v>
      </c>
    </row>
    <row r="7" spans="2:11" ht="15.75" thickBot="1">
      <c r="B7" s="76" t="s">
        <v>5</v>
      </c>
      <c r="C7" s="123">
        <f>+E20</f>
        <v>100000</v>
      </c>
      <c r="D7" s="131">
        <f>+F20</f>
        <v>0</v>
      </c>
      <c r="E7" s="131">
        <f>+G20</f>
        <v>0</v>
      </c>
      <c r="F7" s="131">
        <f>+H20</f>
        <v>0</v>
      </c>
      <c r="G7" s="132">
        <f>+C28</f>
        <v>124000</v>
      </c>
      <c r="H7" s="127">
        <f>+D28</f>
        <v>0</v>
      </c>
      <c r="I7" s="128">
        <f>SUM(C7:H7)</f>
        <v>224000</v>
      </c>
    </row>
    <row r="8" spans="2:11" s="41" customFormat="1" ht="3" customHeight="1">
      <c r="B8" s="221"/>
      <c r="C8" s="18"/>
      <c r="D8" s="18"/>
      <c r="E8" s="18"/>
      <c r="F8" s="18"/>
      <c r="G8" s="18"/>
      <c r="H8" s="18"/>
    </row>
    <row r="9" spans="2:11" s="41" customFormat="1">
      <c r="B9" s="939" t="s">
        <v>168</v>
      </c>
      <c r="C9" s="939"/>
      <c r="D9" s="939"/>
      <c r="E9" s="939"/>
      <c r="F9" s="939"/>
      <c r="G9" s="939"/>
      <c r="H9" s="939"/>
    </row>
    <row r="10" spans="2:11" s="41" customFormat="1" ht="15.75" thickBot="1">
      <c r="B10" s="211"/>
      <c r="C10" s="211"/>
      <c r="D10" s="211"/>
      <c r="E10" s="211"/>
      <c r="F10" s="211"/>
      <c r="G10" s="211"/>
      <c r="H10" s="211"/>
    </row>
    <row r="11" spans="2:11" ht="15.75" thickBot="1">
      <c r="B11" s="6" t="s">
        <v>128</v>
      </c>
      <c r="C11" s="3" t="s">
        <v>58</v>
      </c>
      <c r="D11" s="4"/>
      <c r="E11" s="4"/>
      <c r="F11" s="5"/>
      <c r="G11" s="211"/>
      <c r="H11" s="211"/>
    </row>
    <row r="12" spans="2:11" ht="64.5" thickBot="1">
      <c r="B12" s="6" t="s">
        <v>16</v>
      </c>
      <c r="C12" s="8" t="s">
        <v>676</v>
      </c>
      <c r="D12" s="7" t="s">
        <v>548</v>
      </c>
      <c r="E12" s="7" t="s">
        <v>614</v>
      </c>
      <c r="F12" s="7" t="s">
        <v>60</v>
      </c>
      <c r="G12" s="7" t="s">
        <v>61</v>
      </c>
      <c r="H12" s="10" t="s">
        <v>127</v>
      </c>
      <c r="I12" s="40" t="s">
        <v>105</v>
      </c>
      <c r="J12" s="211"/>
    </row>
    <row r="13" spans="2:11">
      <c r="B13" s="62" t="s">
        <v>535</v>
      </c>
      <c r="C13" s="245">
        <f>+'a) Acciones'!C13</f>
        <v>4000000</v>
      </c>
      <c r="D13" s="246">
        <f>+'d) Fondos'!D15+'b5) RF Ext No Sec'!E33</f>
        <v>2500000</v>
      </c>
      <c r="E13" s="246">
        <f>+C13+D13</f>
        <v>6500000</v>
      </c>
      <c r="F13" s="246"/>
      <c r="G13" s="246"/>
      <c r="H13" s="247">
        <f>+'a) Acciones'!C19</f>
        <v>0</v>
      </c>
      <c r="I13" s="104">
        <f>SUM(C13:H13)</f>
        <v>13000000</v>
      </c>
      <c r="J13" s="215"/>
      <c r="K13" s="41"/>
    </row>
    <row r="14" spans="2:11">
      <c r="B14" s="64" t="s">
        <v>536</v>
      </c>
      <c r="C14" s="248"/>
      <c r="D14" s="783"/>
      <c r="E14" s="783">
        <v>4000000</v>
      </c>
      <c r="F14" s="249"/>
      <c r="G14" s="249"/>
      <c r="H14" s="250"/>
      <c r="I14" s="126">
        <f>SUM(C14:H14)</f>
        <v>4000000</v>
      </c>
      <c r="J14" s="41"/>
      <c r="K14" s="211"/>
    </row>
    <row r="15" spans="2:11">
      <c r="B15" s="64" t="s">
        <v>537</v>
      </c>
      <c r="C15" s="248">
        <f>ABS(C13-C14)</f>
        <v>4000000</v>
      </c>
      <c r="D15" s="783">
        <f t="shared" ref="D15:E15" si="0">ABS(D13-D14)</f>
        <v>2500000</v>
      </c>
      <c r="E15" s="783">
        <f t="shared" si="0"/>
        <v>2500000</v>
      </c>
      <c r="F15" s="249">
        <f t="shared" ref="F15" si="1">ABS(F13-F14)</f>
        <v>0</v>
      </c>
      <c r="G15" s="249">
        <f t="shared" ref="G15" si="2">ABS(G13-G14)</f>
        <v>0</v>
      </c>
      <c r="H15" s="250">
        <f t="shared" ref="H15" si="3">ABS(H13-H14)</f>
        <v>0</v>
      </c>
      <c r="I15" s="126">
        <f>SUM(C15:H15)</f>
        <v>9000000</v>
      </c>
      <c r="J15" s="211"/>
      <c r="K15" s="41"/>
    </row>
    <row r="16" spans="2:11">
      <c r="B16" s="367" t="s">
        <v>538</v>
      </c>
      <c r="C16" s="306"/>
      <c r="D16" s="784"/>
      <c r="E16" s="784">
        <f>(60%*C15+100%*D15)-E14</f>
        <v>900000</v>
      </c>
      <c r="F16" s="307"/>
      <c r="G16" s="307"/>
      <c r="H16" s="250">
        <f>+H15*0%</f>
        <v>0</v>
      </c>
      <c r="I16" s="126">
        <f>SUM(C16:H16)</f>
        <v>900000</v>
      </c>
      <c r="J16" s="211"/>
    </row>
    <row r="17" spans="2:10">
      <c r="B17" s="367" t="s">
        <v>672</v>
      </c>
      <c r="C17" s="306">
        <f>30%*'a) Acciones'!C13</f>
        <v>1200000</v>
      </c>
      <c r="D17" s="307"/>
      <c r="E17" s="307">
        <f>+C17</f>
        <v>1200000</v>
      </c>
      <c r="F17" s="307"/>
      <c r="G17" s="307"/>
      <c r="H17" s="308"/>
      <c r="I17" s="126">
        <f>SUM(C17:H17)</f>
        <v>2400000</v>
      </c>
      <c r="J17" s="211"/>
    </row>
    <row r="18" spans="2:10">
      <c r="B18" s="367" t="s">
        <v>585</v>
      </c>
      <c r="C18" s="306"/>
      <c r="D18" s="784"/>
      <c r="E18" s="784">
        <f>ABS(E15-E16-E17)</f>
        <v>400000</v>
      </c>
      <c r="F18" s="307"/>
      <c r="G18" s="307"/>
      <c r="H18" s="308"/>
      <c r="I18" s="126"/>
      <c r="J18" s="211"/>
    </row>
    <row r="19" spans="2:10">
      <c r="B19" s="64" t="s">
        <v>6</v>
      </c>
      <c r="C19" s="251">
        <v>0.25</v>
      </c>
      <c r="D19" s="252">
        <v>0.25</v>
      </c>
      <c r="E19" s="252">
        <v>0.25</v>
      </c>
      <c r="F19" s="252">
        <v>0.3</v>
      </c>
      <c r="G19" s="252">
        <v>0.3</v>
      </c>
      <c r="H19" s="253">
        <v>0.35</v>
      </c>
      <c r="I19" s="126"/>
      <c r="J19" s="211"/>
    </row>
    <row r="20" spans="2:10" ht="15.75" thickBot="1">
      <c r="B20" s="76" t="s">
        <v>586</v>
      </c>
      <c r="C20" s="254"/>
      <c r="D20" s="255"/>
      <c r="E20" s="255">
        <f>+E18*E19</f>
        <v>100000</v>
      </c>
      <c r="F20" s="255">
        <f>ABS(F15-F16)*F19</f>
        <v>0</v>
      </c>
      <c r="G20" s="255">
        <f>ABS(G15-G16)*G19</f>
        <v>0</v>
      </c>
      <c r="H20" s="256">
        <f>ABS(H15-H16)*H19</f>
        <v>0</v>
      </c>
      <c r="I20" s="128">
        <f>SUM(C20:H20)</f>
        <v>100000</v>
      </c>
      <c r="J20" s="211"/>
    </row>
    <row r="21" spans="2:10" s="41" customFormat="1" ht="15.75" thickBot="1">
      <c r="B21" s="212"/>
      <c r="C21" s="212"/>
      <c r="D21" s="212"/>
      <c r="E21" s="212"/>
      <c r="F21" s="212"/>
      <c r="G21" s="212"/>
      <c r="H21" s="211"/>
    </row>
    <row r="22" spans="2:10" ht="15.75" thickBot="1">
      <c r="B22" s="6" t="s">
        <v>130</v>
      </c>
      <c r="C22" s="212"/>
      <c r="D22" s="212"/>
      <c r="E22" s="212"/>
      <c r="F22" s="212"/>
      <c r="G22" s="212"/>
      <c r="H22" s="211"/>
    </row>
    <row r="23" spans="2:10" ht="26.25" thickBot="1">
      <c r="B23" s="6" t="s">
        <v>16</v>
      </c>
      <c r="C23" s="15" t="s">
        <v>129</v>
      </c>
      <c r="D23" s="364" t="s">
        <v>199</v>
      </c>
      <c r="E23" s="40" t="s">
        <v>105</v>
      </c>
      <c r="F23" s="211"/>
      <c r="G23" s="211"/>
      <c r="H23" s="211"/>
      <c r="I23" s="41"/>
    </row>
    <row r="24" spans="2:10">
      <c r="B24" s="62" t="s">
        <v>221</v>
      </c>
      <c r="C24" s="870">
        <v>38000000</v>
      </c>
      <c r="D24" s="67"/>
      <c r="E24" s="258">
        <f t="shared" ref="E24:E26" si="4">SUM(A24:D24)</f>
        <v>38000000</v>
      </c>
      <c r="F24" s="215"/>
      <c r="G24" s="211"/>
      <c r="H24" s="211"/>
      <c r="I24" s="41"/>
    </row>
    <row r="25" spans="2:10">
      <c r="B25" s="64" t="s">
        <v>222</v>
      </c>
      <c r="C25" s="871">
        <v>40000000</v>
      </c>
      <c r="D25" s="69"/>
      <c r="E25" s="874">
        <f t="shared" si="4"/>
        <v>40000000</v>
      </c>
      <c r="F25" s="215"/>
      <c r="G25" s="211"/>
      <c r="H25" s="211"/>
      <c r="I25" s="41"/>
    </row>
    <row r="26" spans="2:10">
      <c r="B26" s="64" t="s">
        <v>223</v>
      </c>
      <c r="C26" s="871">
        <f>+C24-C25</f>
        <v>-2000000</v>
      </c>
      <c r="D26" s="69">
        <f>+D24-D25</f>
        <v>0</v>
      </c>
      <c r="E26" s="874">
        <f t="shared" si="4"/>
        <v>-2000000</v>
      </c>
      <c r="F26" s="211"/>
      <c r="G26" s="211"/>
      <c r="H26" s="211"/>
      <c r="I26" s="41"/>
    </row>
    <row r="27" spans="2:10">
      <c r="B27" s="64" t="s">
        <v>131</v>
      </c>
      <c r="C27" s="872">
        <v>6.2E-2</v>
      </c>
      <c r="D27" s="77"/>
      <c r="E27" s="874"/>
      <c r="F27" s="211"/>
      <c r="G27" s="211"/>
      <c r="H27" s="211"/>
      <c r="I27" s="41"/>
    </row>
    <row r="28" spans="2:10" ht="15.75" thickBot="1">
      <c r="B28" s="76" t="s">
        <v>224</v>
      </c>
      <c r="C28" s="873">
        <f>IF(C26&lt;0,-C26*C27,0)</f>
        <v>124000</v>
      </c>
      <c r="D28" s="70">
        <f>IF(D26&lt;0,-D26*D27,0)</f>
        <v>0</v>
      </c>
      <c r="E28" s="259">
        <f>SUM(A28:D28)</f>
        <v>124000</v>
      </c>
      <c r="F28" s="211"/>
      <c r="G28" s="211"/>
      <c r="H28" s="211"/>
      <c r="I28" s="41"/>
    </row>
    <row r="29" spans="2:10" s="41" customFormat="1">
      <c r="B29" s="212"/>
      <c r="C29" s="212"/>
      <c r="D29" s="212"/>
      <c r="E29" s="212"/>
      <c r="F29" s="212"/>
      <c r="G29" s="212"/>
      <c r="H29" s="211"/>
    </row>
    <row r="30" spans="2:10" s="41" customFormat="1">
      <c r="C30" s="222"/>
    </row>
    <row r="31" spans="2:10">
      <c r="C31" s="139"/>
    </row>
  </sheetData>
  <mergeCells count="1">
    <mergeCell ref="B9:H9"/>
  </mergeCells>
  <pageMargins left="0.7" right="0.7" top="0.75" bottom="0.75" header="0.3" footer="0.3"/>
  <pageSetup scale="52" orientation="portrait" verticalDpi="597"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I41"/>
  <sheetViews>
    <sheetView showGridLines="0" zoomScaleNormal="100" workbookViewId="0">
      <selection activeCell="H23" sqref="H23"/>
    </sheetView>
  </sheetViews>
  <sheetFormatPr baseColWidth="10" defaultRowHeight="15"/>
  <cols>
    <col min="1" max="1" width="4.7109375" customWidth="1"/>
    <col min="2" max="2" width="40.7109375" customWidth="1"/>
    <col min="3" max="8" width="15.7109375" customWidth="1"/>
  </cols>
  <sheetData>
    <row r="1" spans="2:9" s="41" customFormat="1">
      <c r="B1" s="201" t="s">
        <v>171</v>
      </c>
      <c r="C1" s="215"/>
      <c r="D1" s="211"/>
      <c r="E1" s="211"/>
      <c r="F1" s="211"/>
      <c r="G1" s="211"/>
      <c r="H1" s="211"/>
    </row>
    <row r="2" spans="2:9" s="41" customFormat="1">
      <c r="B2" s="201" t="s">
        <v>71</v>
      </c>
      <c r="C2" s="215"/>
      <c r="D2" s="211"/>
      <c r="E2" s="211"/>
      <c r="F2" s="211"/>
      <c r="G2" s="211"/>
      <c r="H2" s="211"/>
    </row>
    <row r="3" spans="2:9" s="41" customFormat="1" ht="15.75">
      <c r="B3" s="366" t="s">
        <v>209</v>
      </c>
      <c r="C3" s="212"/>
      <c r="D3" s="212"/>
      <c r="E3" s="212"/>
      <c r="F3" s="212"/>
      <c r="G3" s="212"/>
      <c r="H3" s="212"/>
    </row>
    <row r="4" spans="2:9" s="41" customFormat="1" ht="15.75" thickBot="1">
      <c r="B4" s="201"/>
      <c r="C4" s="212"/>
      <c r="D4" s="212"/>
      <c r="E4" s="212"/>
      <c r="F4" s="212"/>
      <c r="G4" s="212"/>
      <c r="H4" s="212"/>
    </row>
    <row r="5" spans="2:9" ht="15.75" thickBot="1">
      <c r="B5" s="212"/>
      <c r="C5" s="3" t="s">
        <v>28</v>
      </c>
      <c r="D5" s="4"/>
      <c r="E5" s="4"/>
      <c r="F5" s="4"/>
      <c r="G5" s="5"/>
      <c r="H5" s="211"/>
    </row>
    <row r="6" spans="2:9" ht="26.25" thickBot="1">
      <c r="B6" s="6" t="s">
        <v>16</v>
      </c>
      <c r="C6" s="8" t="s">
        <v>25</v>
      </c>
      <c r="D6" s="7" t="s">
        <v>17</v>
      </c>
      <c r="E6" s="7" t="s">
        <v>18</v>
      </c>
      <c r="F6" s="7" t="s">
        <v>19</v>
      </c>
      <c r="G6" s="9" t="s">
        <v>6</v>
      </c>
      <c r="H6" s="15" t="s">
        <v>5</v>
      </c>
    </row>
    <row r="7" spans="2:9">
      <c r="B7" s="47" t="s">
        <v>20</v>
      </c>
      <c r="C7" s="48"/>
      <c r="D7" s="49"/>
      <c r="E7" s="49"/>
      <c r="F7" s="49"/>
      <c r="G7" s="71"/>
      <c r="H7" s="67"/>
    </row>
    <row r="8" spans="2:9">
      <c r="B8" s="78" t="s">
        <v>79</v>
      </c>
      <c r="C8" s="111"/>
      <c r="D8" s="80"/>
      <c r="E8" s="80"/>
      <c r="F8" s="80">
        <f>+D8-E8</f>
        <v>0</v>
      </c>
      <c r="G8" s="81"/>
      <c r="H8" s="82">
        <f t="shared" ref="H8:H10" si="0">+F8*G8</f>
        <v>0</v>
      </c>
      <c r="I8" s="17"/>
    </row>
    <row r="9" spans="2:9">
      <c r="B9" s="78" t="s">
        <v>80</v>
      </c>
      <c r="C9" s="111"/>
      <c r="D9" s="80"/>
      <c r="E9" s="80"/>
      <c r="F9" s="80">
        <f>+D9-E9</f>
        <v>0</v>
      </c>
      <c r="G9" s="81"/>
      <c r="H9" s="82">
        <f t="shared" si="0"/>
        <v>0</v>
      </c>
      <c r="I9" s="17"/>
    </row>
    <row r="10" spans="2:9">
      <c r="B10" s="83" t="s">
        <v>81</v>
      </c>
      <c r="C10" s="112"/>
      <c r="D10" s="59"/>
      <c r="E10" s="59"/>
      <c r="F10" s="59">
        <f>+D10-E10</f>
        <v>0</v>
      </c>
      <c r="G10" s="84"/>
      <c r="H10" s="85">
        <f t="shared" si="0"/>
        <v>0</v>
      </c>
    </row>
    <row r="11" spans="2:9">
      <c r="B11" s="24" t="s">
        <v>86</v>
      </c>
      <c r="C11" s="25"/>
      <c r="D11" s="26">
        <f>SUM(D8:D10)</f>
        <v>0</v>
      </c>
      <c r="E11" s="26">
        <f>SUM(E8:E10)</f>
        <v>0</v>
      </c>
      <c r="F11" s="26">
        <f>SUM(F8:F10)</f>
        <v>0</v>
      </c>
      <c r="G11" s="30"/>
      <c r="H11" s="32">
        <f>SUM(H8:H10)</f>
        <v>0</v>
      </c>
    </row>
    <row r="12" spans="2:9" ht="6" customHeight="1">
      <c r="B12" s="86"/>
      <c r="C12" s="79"/>
      <c r="D12" s="80"/>
      <c r="E12" s="80"/>
      <c r="F12" s="80"/>
      <c r="G12" s="81"/>
      <c r="H12" s="82"/>
    </row>
    <row r="13" spans="2:9">
      <c r="B13" s="60" t="s">
        <v>21</v>
      </c>
      <c r="C13" s="52"/>
      <c r="D13" s="53"/>
      <c r="E13" s="53"/>
      <c r="F13" s="80"/>
      <c r="G13" s="72"/>
      <c r="H13" s="69"/>
    </row>
    <row r="14" spans="2:9">
      <c r="B14" s="51" t="s">
        <v>82</v>
      </c>
      <c r="C14" s="52"/>
      <c r="D14" s="53"/>
      <c r="E14" s="53"/>
      <c r="F14" s="80">
        <f>+D14-E14</f>
        <v>0</v>
      </c>
      <c r="G14" s="72"/>
      <c r="H14" s="82">
        <f t="shared" ref="H14:H16" si="1">+F14*G14</f>
        <v>0</v>
      </c>
    </row>
    <row r="15" spans="2:9">
      <c r="B15" s="51" t="s">
        <v>83</v>
      </c>
      <c r="C15" s="52"/>
      <c r="D15" s="53"/>
      <c r="E15" s="53"/>
      <c r="F15" s="80">
        <f>+D15-E15</f>
        <v>0</v>
      </c>
      <c r="G15" s="72"/>
      <c r="H15" s="82">
        <f t="shared" si="1"/>
        <v>0</v>
      </c>
    </row>
    <row r="16" spans="2:9">
      <c r="B16" s="51" t="s">
        <v>84</v>
      </c>
      <c r="C16" s="52"/>
      <c r="D16" s="53"/>
      <c r="E16" s="53"/>
      <c r="F16" s="59">
        <f>+D16-E16</f>
        <v>0</v>
      </c>
      <c r="G16" s="72"/>
      <c r="H16" s="85">
        <f t="shared" si="1"/>
        <v>0</v>
      </c>
    </row>
    <row r="17" spans="2:9">
      <c r="B17" s="24" t="s">
        <v>87</v>
      </c>
      <c r="C17" s="25"/>
      <c r="D17" s="26">
        <f>SUM(D14:D16)</f>
        <v>0</v>
      </c>
      <c r="E17" s="26">
        <f>SUM(E14:E16)</f>
        <v>0</v>
      </c>
      <c r="F17" s="26">
        <f>SUM(F14:F16)</f>
        <v>0</v>
      </c>
      <c r="G17" s="30"/>
      <c r="H17" s="32">
        <f>SUM(H14:H16)</f>
        <v>0</v>
      </c>
    </row>
    <row r="18" spans="2:9" ht="6" customHeight="1">
      <c r="B18" s="51"/>
      <c r="C18" s="52"/>
      <c r="D18" s="53"/>
      <c r="E18" s="53"/>
      <c r="F18" s="53"/>
      <c r="G18" s="72"/>
      <c r="H18" s="69"/>
    </row>
    <row r="19" spans="2:9">
      <c r="B19" s="60" t="s">
        <v>22</v>
      </c>
      <c r="C19" s="52"/>
      <c r="D19" s="53"/>
      <c r="E19" s="53"/>
      <c r="F19" s="53"/>
      <c r="G19" s="72"/>
      <c r="H19" s="69"/>
    </row>
    <row r="20" spans="2:9">
      <c r="B20" s="51" t="s">
        <v>89</v>
      </c>
      <c r="C20" s="510" t="s">
        <v>426</v>
      </c>
      <c r="D20" s="53">
        <v>1500000</v>
      </c>
      <c r="E20" s="53">
        <v>0</v>
      </c>
      <c r="F20" s="53">
        <f>+D20-E20</f>
        <v>1500000</v>
      </c>
      <c r="G20" s="114">
        <v>0.3</v>
      </c>
      <c r="H20" s="69">
        <f>+F20*G20</f>
        <v>450000</v>
      </c>
      <c r="I20" s="374"/>
    </row>
    <row r="21" spans="2:9">
      <c r="B21" s="51" t="s">
        <v>90</v>
      </c>
      <c r="C21" s="111"/>
      <c r="D21" s="53"/>
      <c r="E21" s="53"/>
      <c r="F21" s="80">
        <f>+D21-E21</f>
        <v>0</v>
      </c>
      <c r="G21" s="72"/>
      <c r="H21" s="82">
        <f t="shared" ref="H21:H22" si="2">+F21*G21</f>
        <v>0</v>
      </c>
      <c r="I21" s="17"/>
    </row>
    <row r="22" spans="2:9">
      <c r="B22" s="51" t="s">
        <v>91</v>
      </c>
      <c r="C22" s="112"/>
      <c r="D22" s="53"/>
      <c r="E22" s="53"/>
      <c r="F22" s="59">
        <f>+D22-E22</f>
        <v>0</v>
      </c>
      <c r="G22" s="72"/>
      <c r="H22" s="85">
        <f t="shared" si="2"/>
        <v>0</v>
      </c>
    </row>
    <row r="23" spans="2:9">
      <c r="B23" s="24" t="s">
        <v>88</v>
      </c>
      <c r="C23" s="25"/>
      <c r="D23" s="26">
        <f>SUM(D20:D22)</f>
        <v>1500000</v>
      </c>
      <c r="E23" s="26">
        <f>SUM(E20:E22)</f>
        <v>0</v>
      </c>
      <c r="F23" s="26">
        <f>SUM(F20:F22)</f>
        <v>1500000</v>
      </c>
      <c r="G23" s="30"/>
      <c r="H23" s="32">
        <f>SUM(H20:H22)</f>
        <v>450000</v>
      </c>
    </row>
    <row r="24" spans="2:9" ht="6" customHeight="1">
      <c r="B24" s="64"/>
      <c r="C24" s="52"/>
      <c r="D24" s="53"/>
      <c r="E24" s="53"/>
      <c r="F24" s="53"/>
      <c r="G24" s="72"/>
      <c r="H24" s="69"/>
    </row>
    <row r="25" spans="2:9">
      <c r="B25" s="60" t="s">
        <v>23</v>
      </c>
      <c r="C25" s="52"/>
      <c r="D25" s="53"/>
      <c r="E25" s="53"/>
      <c r="F25" s="53"/>
      <c r="G25" s="72"/>
      <c r="H25" s="69"/>
    </row>
    <row r="26" spans="2:9">
      <c r="B26" s="55" t="s">
        <v>92</v>
      </c>
      <c r="C26" s="113"/>
      <c r="D26" s="57"/>
      <c r="E26" s="57"/>
      <c r="F26" s="80">
        <f>+D26-E26</f>
        <v>0</v>
      </c>
      <c r="G26" s="87"/>
      <c r="H26" s="82">
        <f t="shared" ref="H26:H28" si="3">+F26*G26</f>
        <v>0</v>
      </c>
    </row>
    <row r="27" spans="2:9">
      <c r="B27" s="55" t="s">
        <v>93</v>
      </c>
      <c r="C27" s="56"/>
      <c r="D27" s="57"/>
      <c r="E27" s="57"/>
      <c r="F27" s="80">
        <f>+D27-E27</f>
        <v>0</v>
      </c>
      <c r="G27" s="87"/>
      <c r="H27" s="82">
        <f t="shared" si="3"/>
        <v>0</v>
      </c>
    </row>
    <row r="28" spans="2:9">
      <c r="B28" s="55" t="s">
        <v>94</v>
      </c>
      <c r="C28" s="56"/>
      <c r="D28" s="57"/>
      <c r="E28" s="57"/>
      <c r="F28" s="59">
        <f>+D28-E28</f>
        <v>0</v>
      </c>
      <c r="G28" s="87"/>
      <c r="H28" s="85">
        <f t="shared" si="3"/>
        <v>0</v>
      </c>
    </row>
    <row r="29" spans="2:9">
      <c r="B29" s="24" t="s">
        <v>95</v>
      </c>
      <c r="C29" s="25"/>
      <c r="D29" s="26">
        <f>SUM(D26:D28)</f>
        <v>0</v>
      </c>
      <c r="E29" s="26">
        <f>SUM(E26:E28)</f>
        <v>0</v>
      </c>
      <c r="F29" s="26">
        <f>SUM(F26:F28)</f>
        <v>0</v>
      </c>
      <c r="G29" s="30"/>
      <c r="H29" s="32">
        <f>SUM(H26:H28)</f>
        <v>0</v>
      </c>
    </row>
    <row r="30" spans="2:9" ht="6" customHeight="1">
      <c r="B30" s="61"/>
      <c r="C30" s="56"/>
      <c r="D30" s="57"/>
      <c r="E30" s="57"/>
      <c r="F30" s="57"/>
      <c r="G30" s="87"/>
      <c r="H30" s="88"/>
    </row>
    <row r="31" spans="2:9">
      <c r="B31" s="60" t="s">
        <v>24</v>
      </c>
      <c r="C31" s="52"/>
      <c r="D31" s="53"/>
      <c r="E31" s="53"/>
      <c r="F31" s="53"/>
      <c r="G31" s="72"/>
      <c r="H31" s="69"/>
    </row>
    <row r="32" spans="2:9">
      <c r="B32" s="51" t="s">
        <v>96</v>
      </c>
      <c r="C32" s="257"/>
      <c r="D32" s="53"/>
      <c r="E32" s="53"/>
      <c r="F32" s="53">
        <f>+D32-E32</f>
        <v>0</v>
      </c>
      <c r="G32" s="72"/>
      <c r="H32" s="69">
        <f t="shared" ref="H32:H34" si="4">+F32*G32</f>
        <v>0</v>
      </c>
    </row>
    <row r="33" spans="1:8">
      <c r="B33" s="55" t="s">
        <v>97</v>
      </c>
      <c r="C33" s="113"/>
      <c r="D33" s="57"/>
      <c r="E33" s="57"/>
      <c r="F33" s="80">
        <f>+D33-E33</f>
        <v>0</v>
      </c>
      <c r="G33" s="87"/>
      <c r="H33" s="82">
        <f t="shared" si="4"/>
        <v>0</v>
      </c>
    </row>
    <row r="34" spans="1:8">
      <c r="B34" s="55" t="s">
        <v>98</v>
      </c>
      <c r="C34" s="56"/>
      <c r="D34" s="57"/>
      <c r="E34" s="57"/>
      <c r="F34" s="59">
        <f>+D34-E34</f>
        <v>0</v>
      </c>
      <c r="G34" s="87"/>
      <c r="H34" s="85">
        <f t="shared" si="4"/>
        <v>0</v>
      </c>
    </row>
    <row r="35" spans="1:8">
      <c r="B35" s="24" t="s">
        <v>99</v>
      </c>
      <c r="C35" s="25"/>
      <c r="D35" s="26">
        <f>SUM(D32:D34)</f>
        <v>0</v>
      </c>
      <c r="E35" s="26">
        <f>SUM(E32:E34)</f>
        <v>0</v>
      </c>
      <c r="F35" s="26">
        <f>SUM(F32:F34)</f>
        <v>0</v>
      </c>
      <c r="G35" s="30"/>
      <c r="H35" s="32">
        <f>SUM(H32:H34)</f>
        <v>0</v>
      </c>
    </row>
    <row r="36" spans="1:8" ht="6" customHeight="1" thickBot="1">
      <c r="B36" s="61"/>
      <c r="C36" s="56"/>
      <c r="D36" s="57"/>
      <c r="E36" s="57"/>
      <c r="F36" s="57"/>
      <c r="G36" s="87"/>
      <c r="H36" s="88"/>
    </row>
    <row r="37" spans="1:8" ht="15.75" thickBot="1">
      <c r="B37" s="29" t="s">
        <v>85</v>
      </c>
      <c r="C37" s="27"/>
      <c r="D37" s="28">
        <f>+D11+D17+D23+D29+D35</f>
        <v>1500000</v>
      </c>
      <c r="E37" s="28">
        <f>+E11+E17+E23+E29+E35</f>
        <v>0</v>
      </c>
      <c r="F37" s="28">
        <f>+F11+F17+F23+F29+F35</f>
        <v>1500000</v>
      </c>
      <c r="G37" s="31"/>
      <c r="H37" s="33">
        <f>+H11+H17+H23+H29+H35</f>
        <v>450000</v>
      </c>
    </row>
    <row r="38" spans="1:8" ht="3" customHeight="1">
      <c r="A38" s="41"/>
      <c r="B38" s="212"/>
      <c r="C38" s="212"/>
      <c r="D38" s="212"/>
      <c r="E38" s="212"/>
      <c r="F38" s="212"/>
      <c r="G38" s="212"/>
      <c r="H38" s="212"/>
    </row>
    <row r="39" spans="1:8">
      <c r="A39" s="41"/>
      <c r="B39" s="939" t="s">
        <v>132</v>
      </c>
      <c r="C39" s="939"/>
      <c r="D39" s="939"/>
      <c r="E39" s="939"/>
      <c r="F39" s="939"/>
      <c r="G39" s="939"/>
      <c r="H39" s="939"/>
    </row>
    <row r="40" spans="1:8">
      <c r="A40" s="41"/>
      <c r="B40" s="41"/>
      <c r="C40" s="41"/>
      <c r="D40" s="41"/>
      <c r="E40" s="41"/>
      <c r="F40" s="41"/>
      <c r="G40" s="41"/>
      <c r="H40" s="41"/>
    </row>
    <row r="41" spans="1:8">
      <c r="A41" s="41"/>
      <c r="B41" s="41"/>
      <c r="C41" s="41"/>
      <c r="D41" s="41"/>
      <c r="E41" s="41"/>
      <c r="F41" s="41"/>
      <c r="G41" s="41"/>
      <c r="H41" s="41"/>
    </row>
  </sheetData>
  <mergeCells count="1">
    <mergeCell ref="B39:H39"/>
  </mergeCells>
  <pageMargins left="0.7" right="0.7" top="0.75" bottom="0.75" header="0.3" footer="0.3"/>
  <pageSetup scale="65" orientation="portrait" verticalDpi="597"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M18"/>
  <sheetViews>
    <sheetView showGridLines="0" zoomScaleNormal="100" workbookViewId="0">
      <selection activeCell="D15" sqref="D15"/>
    </sheetView>
  </sheetViews>
  <sheetFormatPr baseColWidth="10" defaultRowHeight="15"/>
  <cols>
    <col min="1" max="1" width="4.7109375" customWidth="1"/>
    <col min="2" max="2" width="44.7109375" customWidth="1"/>
    <col min="3" max="9" width="16.7109375" customWidth="1"/>
    <col min="10" max="10" width="16.85546875" style="41" customWidth="1"/>
    <col min="11" max="12" width="16.85546875" customWidth="1"/>
    <col min="13" max="13" width="14.7109375" customWidth="1"/>
  </cols>
  <sheetData>
    <row r="1" spans="2:13" s="41" customFormat="1">
      <c r="B1" s="201" t="s">
        <v>171</v>
      </c>
    </row>
    <row r="2" spans="2:13" s="41" customFormat="1">
      <c r="B2" s="201" t="s">
        <v>71</v>
      </c>
    </row>
    <row r="3" spans="2:13" s="41" customFormat="1" ht="15.75">
      <c r="B3" s="366" t="s">
        <v>211</v>
      </c>
      <c r="C3" s="223"/>
      <c r="D3" s="223"/>
      <c r="E3" s="223"/>
      <c r="F3" s="223"/>
      <c r="G3" s="223"/>
      <c r="H3" s="223"/>
      <c r="I3" s="223"/>
    </row>
    <row r="4" spans="2:13" s="41" customFormat="1" ht="15.75" thickBot="1">
      <c r="B4" s="224"/>
      <c r="C4" s="225"/>
      <c r="D4" s="225"/>
      <c r="E4" s="225"/>
      <c r="F4" s="225"/>
      <c r="G4" s="225"/>
      <c r="H4" s="225"/>
      <c r="I4" s="225"/>
      <c r="J4" s="217"/>
      <c r="K4" s="217"/>
      <c r="L4" s="217"/>
      <c r="M4" s="217"/>
    </row>
    <row r="5" spans="2:13" ht="15.75" thickBot="1">
      <c r="B5" s="340"/>
      <c r="C5" s="341" t="s">
        <v>210</v>
      </c>
      <c r="D5" s="342"/>
      <c r="E5" s="342"/>
      <c r="F5" s="342"/>
      <c r="G5" s="342"/>
      <c r="H5" s="343"/>
      <c r="I5" s="344"/>
    </row>
    <row r="6" spans="2:13" ht="39" thickBot="1">
      <c r="B6" s="97" t="s">
        <v>16</v>
      </c>
      <c r="C6" s="98" t="s">
        <v>428</v>
      </c>
      <c r="D6" s="587" t="s">
        <v>526</v>
      </c>
      <c r="E6" s="587" t="s">
        <v>527</v>
      </c>
      <c r="F6" s="587" t="s">
        <v>528</v>
      </c>
      <c r="G6" s="587" t="s">
        <v>529</v>
      </c>
      <c r="H6" s="99" t="s">
        <v>474</v>
      </c>
      <c r="I6" s="100" t="s">
        <v>105</v>
      </c>
    </row>
    <row r="7" spans="2:13">
      <c r="B7" s="313" t="s">
        <v>103</v>
      </c>
      <c r="C7" s="643">
        <v>700000</v>
      </c>
      <c r="D7" s="687">
        <v>500000</v>
      </c>
      <c r="E7" s="687"/>
      <c r="F7" s="687"/>
      <c r="G7" s="687"/>
      <c r="H7" s="644">
        <v>250000</v>
      </c>
      <c r="I7" s="346">
        <f>SUM(C7:H7)</f>
        <v>1450000</v>
      </c>
    </row>
    <row r="8" spans="2:13">
      <c r="B8" s="347" t="s">
        <v>6</v>
      </c>
      <c r="C8" s="645">
        <v>1</v>
      </c>
      <c r="D8" s="645">
        <v>1</v>
      </c>
      <c r="E8" s="645">
        <v>1</v>
      </c>
      <c r="F8" s="645">
        <v>1</v>
      </c>
      <c r="G8" s="645">
        <v>1</v>
      </c>
      <c r="H8" s="646">
        <v>1</v>
      </c>
      <c r="I8" s="348"/>
    </row>
    <row r="9" spans="2:13" ht="15.75" thickBot="1">
      <c r="B9" s="76" t="s">
        <v>5</v>
      </c>
      <c r="C9" s="647">
        <f t="shared" ref="C9:D9" si="0">+C8*C7</f>
        <v>700000</v>
      </c>
      <c r="D9" s="688">
        <f t="shared" si="0"/>
        <v>500000</v>
      </c>
      <c r="E9" s="688"/>
      <c r="F9" s="688"/>
      <c r="G9" s="688"/>
      <c r="H9" s="648">
        <f>+H8*H7</f>
        <v>250000</v>
      </c>
      <c r="I9" s="349">
        <f>SUM(C9:H9)</f>
        <v>1450000</v>
      </c>
      <c r="J9" s="218"/>
    </row>
    <row r="10" spans="2:13" s="41" customFormat="1" ht="3" customHeight="1">
      <c r="B10" s="221"/>
      <c r="C10" s="320"/>
      <c r="D10" s="320"/>
      <c r="E10" s="320"/>
      <c r="F10" s="320"/>
      <c r="G10" s="320"/>
      <c r="H10" s="320"/>
      <c r="I10" s="320"/>
    </row>
    <row r="11" spans="2:13" s="41" customFormat="1" ht="31.5" customHeight="1">
      <c r="B11" s="938" t="s">
        <v>212</v>
      </c>
      <c r="C11" s="938"/>
      <c r="D11" s="938"/>
      <c r="E11" s="938"/>
      <c r="F11" s="938"/>
      <c r="G11" s="938"/>
      <c r="H11" s="938"/>
      <c r="I11" s="938"/>
      <c r="J11" s="217"/>
      <c r="K11" s="217"/>
      <c r="L11" s="217"/>
      <c r="M11" s="217"/>
    </row>
    <row r="12" spans="2:13" s="41" customFormat="1" ht="29.25" customHeight="1">
      <c r="B12" s="938" t="s">
        <v>530</v>
      </c>
      <c r="C12" s="938"/>
      <c r="D12" s="938"/>
      <c r="E12" s="938"/>
      <c r="F12" s="938"/>
      <c r="G12" s="938"/>
      <c r="H12" s="938"/>
      <c r="I12" s="938"/>
      <c r="J12" s="217"/>
      <c r="K12" s="217"/>
      <c r="L12" s="217"/>
      <c r="M12" s="217"/>
    </row>
    <row r="13" spans="2:13" ht="15.75" thickBot="1"/>
    <row r="14" spans="2:13" ht="15.75" thickBot="1">
      <c r="B14" s="321"/>
      <c r="C14" s="331" t="s">
        <v>112</v>
      </c>
    </row>
    <row r="15" spans="2:13">
      <c r="B15" s="313" t="s">
        <v>531</v>
      </c>
      <c r="C15" s="991">
        <v>100000</v>
      </c>
    </row>
    <row r="16" spans="2:13">
      <c r="B16" s="324" t="s">
        <v>532</v>
      </c>
      <c r="C16" s="992">
        <v>150000</v>
      </c>
    </row>
    <row r="17" spans="2:3" ht="15.75" thickBot="1">
      <c r="B17" s="988" t="s">
        <v>533</v>
      </c>
      <c r="C17" s="993"/>
    </row>
    <row r="18" spans="2:3" ht="15.75" thickBot="1">
      <c r="B18" s="989" t="s">
        <v>534</v>
      </c>
      <c r="C18" s="994">
        <f>SUM(C15:C17)</f>
        <v>250000</v>
      </c>
    </row>
  </sheetData>
  <mergeCells count="2">
    <mergeCell ref="B11:I11"/>
    <mergeCell ref="B12:I12"/>
  </mergeCells>
  <pageMargins left="0.7" right="0.7" top="0.75" bottom="0.75" header="0.3" footer="0.3"/>
  <pageSetup scale="60" orientation="portrait" verticalDpi="597"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N20"/>
  <sheetViews>
    <sheetView showGridLines="0" zoomScale="110" zoomScaleNormal="110" workbookViewId="0">
      <selection activeCell="D11" sqref="D11"/>
    </sheetView>
  </sheetViews>
  <sheetFormatPr baseColWidth="10" defaultRowHeight="15"/>
  <cols>
    <col min="1" max="1" width="2.7109375" customWidth="1"/>
    <col min="2" max="2" width="14.7109375" customWidth="1"/>
    <col min="3" max="14" width="12.7109375" customWidth="1"/>
  </cols>
  <sheetData>
    <row r="1" spans="2:14" s="41" customFormat="1" ht="15.75">
      <c r="B1" s="206" t="s">
        <v>171</v>
      </c>
    </row>
    <row r="2" spans="2:14" s="41" customFormat="1" ht="15.75">
      <c r="B2" s="206" t="s">
        <v>71</v>
      </c>
      <c r="C2" s="201"/>
      <c r="D2" s="201"/>
      <c r="E2" s="201"/>
      <c r="F2" s="211"/>
      <c r="G2" s="211"/>
      <c r="H2" s="211"/>
      <c r="I2" s="211"/>
      <c r="J2" s="212"/>
      <c r="K2" s="212"/>
      <c r="L2" s="212"/>
      <c r="M2" s="212"/>
      <c r="N2" s="211"/>
    </row>
    <row r="3" spans="2:14" ht="15.75">
      <c r="B3" s="1" t="s">
        <v>407</v>
      </c>
      <c r="C3" s="2"/>
      <c r="D3" s="2"/>
      <c r="E3" s="2"/>
      <c r="F3" s="2"/>
      <c r="G3" s="2"/>
      <c r="H3" s="2"/>
      <c r="I3" s="2"/>
      <c r="J3" s="2"/>
      <c r="K3" s="2"/>
      <c r="L3" s="2"/>
      <c r="M3" s="2"/>
    </row>
    <row r="4" spans="2:14" ht="15.75" thickBot="1">
      <c r="B4" s="17"/>
      <c r="C4" s="142"/>
      <c r="D4" s="142"/>
      <c r="E4" s="142"/>
      <c r="F4" s="142"/>
      <c r="G4" s="142"/>
      <c r="H4" s="142"/>
      <c r="I4" s="142"/>
      <c r="J4" s="143"/>
      <c r="K4" s="143"/>
      <c r="L4" s="143"/>
      <c r="M4" s="143"/>
      <c r="N4" s="142"/>
    </row>
    <row r="5" spans="2:14">
      <c r="B5" s="465" t="s">
        <v>397</v>
      </c>
      <c r="C5" s="466">
        <f>+'Cap III 1.1 CBR Mercado'!C6+'d) Fondos'!C9+'d) Fondos'!C37+'d) Fondos'!C72+'Cap III 1.1 CBR Mercado'!J6</f>
        <v>12571242.31048085</v>
      </c>
      <c r="G5" s="143"/>
      <c r="H5" s="143"/>
      <c r="I5" s="143"/>
      <c r="J5" s="143"/>
      <c r="L5" s="143"/>
      <c r="M5" s="143"/>
      <c r="N5" s="144"/>
    </row>
    <row r="6" spans="2:14">
      <c r="B6" s="467" t="s">
        <v>398</v>
      </c>
      <c r="C6" s="286">
        <f>+'Cap III 1.1 CBR Mercado'!D6+'Cap III 1.1 CBR Mercado'!E6+'Cap III 1.1 CBR Mercado'!M6+'Cap III 1.1 CBR Mercado'!K6+'Cap III 1.1 CBR Mercado'!L6</f>
        <v>49755089.895766005</v>
      </c>
      <c r="J6" s="143"/>
      <c r="K6" s="143"/>
      <c r="L6" s="143"/>
      <c r="M6" s="143"/>
      <c r="N6" s="142"/>
    </row>
    <row r="7" spans="2:14">
      <c r="B7" s="467" t="s">
        <v>399</v>
      </c>
      <c r="C7" s="286">
        <f>+'Cap III 1.1 CBR Mercado'!F6+'d) Fondos'!D9</f>
        <v>21900000</v>
      </c>
    </row>
    <row r="8" spans="2:14">
      <c r="B8" s="467" t="s">
        <v>400</v>
      </c>
      <c r="C8" s="286">
        <f>+'Cap III 1.1 CBR Mercado'!H6+'f) Derivados'!H37</f>
        <v>674000</v>
      </c>
    </row>
    <row r="9" spans="2:14">
      <c r="B9" s="468" t="s">
        <v>408</v>
      </c>
      <c r="C9" s="469">
        <f>+'g) Otros'!I9</f>
        <v>1450000</v>
      </c>
    </row>
    <row r="10" spans="2:14" ht="15.75" thickBot="1">
      <c r="B10" s="468" t="s">
        <v>218</v>
      </c>
      <c r="C10" s="469">
        <f>SUM(C5:C9)</f>
        <v>86350332.206246853</v>
      </c>
      <c r="D10" s="137"/>
      <c r="E10" s="137"/>
    </row>
    <row r="11" spans="2:14" ht="15.75" thickBot="1">
      <c r="B11" s="470" t="s">
        <v>403</v>
      </c>
      <c r="C11" s="471">
        <f>SQRT(MMULT(I17:L17,C5:C8))+C9</f>
        <v>73208282.348375633</v>
      </c>
      <c r="D11" s="586"/>
    </row>
    <row r="12" spans="2:14" ht="15.75" thickBot="1">
      <c r="B12" s="464" t="s">
        <v>406</v>
      </c>
      <c r="C12" s="491">
        <f>+C10-C11</f>
        <v>13142049.85787122</v>
      </c>
      <c r="D12" s="586"/>
      <c r="E12" s="160"/>
    </row>
    <row r="13" spans="2:14">
      <c r="B13" s="463" t="s">
        <v>603</v>
      </c>
      <c r="C13" s="137"/>
    </row>
    <row r="14" spans="2:14" ht="15.75" thickBot="1">
      <c r="B14" s="462"/>
      <c r="C14" s="137"/>
    </row>
    <row r="15" spans="2:14" ht="15.75" thickBot="1">
      <c r="C15" s="907" t="s">
        <v>401</v>
      </c>
      <c r="D15" s="908"/>
      <c r="E15" s="908"/>
      <c r="F15" s="909"/>
    </row>
    <row r="16" spans="2:14" ht="15.75" thickBot="1">
      <c r="B16" s="17"/>
      <c r="C16" s="472" t="s">
        <v>397</v>
      </c>
      <c r="D16" s="473" t="s">
        <v>398</v>
      </c>
      <c r="E16" s="473" t="s">
        <v>399</v>
      </c>
      <c r="F16" s="474" t="s">
        <v>400</v>
      </c>
      <c r="I16" s="940" t="s">
        <v>402</v>
      </c>
      <c r="J16" s="941"/>
      <c r="K16" s="941"/>
      <c r="L16" s="942"/>
    </row>
    <row r="17" spans="2:12" ht="15.75" thickBot="1">
      <c r="B17" s="475" t="s">
        <v>397</v>
      </c>
      <c r="C17" s="478">
        <v>1</v>
      </c>
      <c r="D17" s="479">
        <v>0.5</v>
      </c>
      <c r="E17" s="479">
        <v>0.5</v>
      </c>
      <c r="F17" s="480">
        <v>0.25</v>
      </c>
      <c r="I17" s="488">
        <f t="array" ref="I17:L17">MMULT(TRANSPOSE(C5:C8),C17:F20)</f>
        <v>48567287.25836385</v>
      </c>
      <c r="J17" s="489">
        <v>67327711.051006436</v>
      </c>
      <c r="K17" s="489">
        <v>53231666.103123426</v>
      </c>
      <c r="L17" s="490">
        <v>34169355.525503218</v>
      </c>
    </row>
    <row r="18" spans="2:12">
      <c r="B18" s="476" t="s">
        <v>398</v>
      </c>
      <c r="C18" s="481">
        <v>0.5</v>
      </c>
      <c r="D18" s="482">
        <v>1</v>
      </c>
      <c r="E18" s="483">
        <v>0.5</v>
      </c>
      <c r="F18" s="484">
        <v>0.5</v>
      </c>
    </row>
    <row r="19" spans="2:12">
      <c r="B19" s="476" t="s">
        <v>399</v>
      </c>
      <c r="C19" s="481">
        <v>0.5</v>
      </c>
      <c r="D19" s="483">
        <v>0.5</v>
      </c>
      <c r="E19" s="482">
        <v>1</v>
      </c>
      <c r="F19" s="484">
        <v>0.25</v>
      </c>
    </row>
    <row r="20" spans="2:12" ht="15.75" thickBot="1">
      <c r="B20" s="477" t="s">
        <v>400</v>
      </c>
      <c r="C20" s="485">
        <v>0.25</v>
      </c>
      <c r="D20" s="486">
        <v>0.5</v>
      </c>
      <c r="E20" s="486">
        <v>0.25</v>
      </c>
      <c r="F20" s="487">
        <v>1</v>
      </c>
    </row>
  </sheetData>
  <mergeCells count="2">
    <mergeCell ref="C15:F15"/>
    <mergeCell ref="I16:L16"/>
  </mergeCells>
  <pageMargins left="0.7" right="0.7" top="0.75" bottom="0.75" header="0.3" footer="0.3"/>
  <pageSetup scale="72" orientation="landscape" verticalDpi="597"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R8"/>
  <sheetViews>
    <sheetView showGridLines="0" zoomScaleNormal="100" workbookViewId="0">
      <selection activeCell="N6" sqref="N6"/>
    </sheetView>
  </sheetViews>
  <sheetFormatPr baseColWidth="10" defaultRowHeight="15"/>
  <cols>
    <col min="1" max="1" width="4.7109375" customWidth="1"/>
    <col min="2" max="2" width="24.7109375" customWidth="1"/>
    <col min="3" max="13" width="14.7109375" customWidth="1"/>
    <col min="14" max="16" width="16.85546875" customWidth="1"/>
    <col min="17" max="17" width="14.7109375" customWidth="1"/>
  </cols>
  <sheetData>
    <row r="1" spans="2:18" s="41" customFormat="1">
      <c r="B1" s="201" t="s">
        <v>171</v>
      </c>
      <c r="C1" s="211"/>
      <c r="D1" s="211"/>
      <c r="E1" s="211"/>
      <c r="F1" s="211"/>
      <c r="G1" s="211"/>
      <c r="H1" s="211"/>
      <c r="I1" s="211"/>
      <c r="J1" s="211"/>
      <c r="K1" s="211"/>
      <c r="L1" s="211"/>
      <c r="M1" s="211"/>
    </row>
    <row r="2" spans="2:18" s="41" customFormat="1">
      <c r="B2" s="201" t="s">
        <v>150</v>
      </c>
      <c r="C2" s="211"/>
      <c r="D2" s="211"/>
      <c r="E2" s="211"/>
      <c r="F2" s="211"/>
      <c r="G2" s="211"/>
      <c r="H2" s="211"/>
      <c r="I2" s="211"/>
      <c r="J2" s="211"/>
      <c r="K2" s="211"/>
      <c r="L2" s="211"/>
      <c r="M2" s="211"/>
    </row>
    <row r="3" spans="2:18" s="41" customFormat="1" ht="15.75" thickBot="1">
      <c r="B3" s="201"/>
      <c r="C3" s="212"/>
      <c r="D3" s="212"/>
      <c r="E3" s="212"/>
      <c r="F3" s="212"/>
      <c r="G3" s="212"/>
      <c r="H3" s="212"/>
      <c r="I3" s="212"/>
      <c r="J3" s="212"/>
      <c r="K3" s="212"/>
      <c r="L3" s="212"/>
      <c r="M3" s="212"/>
      <c r="N3" s="217"/>
      <c r="O3" s="217"/>
      <c r="P3" s="217"/>
      <c r="Q3" s="217"/>
    </row>
    <row r="4" spans="2:18" s="41" customFormat="1" ht="15.75" thickBot="1">
      <c r="B4" s="212"/>
      <c r="C4" s="3" t="s">
        <v>151</v>
      </c>
      <c r="D4" s="3"/>
      <c r="E4" s="4"/>
      <c r="F4" s="4"/>
      <c r="G4" s="4"/>
      <c r="H4" s="5"/>
      <c r="I4" s="5"/>
      <c r="J4" s="4"/>
      <c r="K4" s="4"/>
      <c r="L4" s="4"/>
      <c r="M4" s="5"/>
      <c r="N4" s="211"/>
      <c r="O4" s="217"/>
      <c r="P4" s="217"/>
      <c r="Q4" s="217"/>
      <c r="R4" s="217"/>
    </row>
    <row r="5" spans="2:18" ht="51" customHeight="1" thickBot="1">
      <c r="B5" s="6" t="s">
        <v>26</v>
      </c>
      <c r="C5" s="8" t="s">
        <v>153</v>
      </c>
      <c r="D5" s="7" t="s">
        <v>157</v>
      </c>
      <c r="E5" s="9" t="s">
        <v>44</v>
      </c>
      <c r="F5" s="9" t="s">
        <v>372</v>
      </c>
      <c r="G5" s="9" t="s">
        <v>0</v>
      </c>
      <c r="H5" s="7" t="s">
        <v>38</v>
      </c>
      <c r="I5" s="7" t="s">
        <v>225</v>
      </c>
      <c r="J5" s="7" t="s">
        <v>582</v>
      </c>
      <c r="K5" s="7" t="s">
        <v>583</v>
      </c>
      <c r="L5" s="7" t="s">
        <v>100</v>
      </c>
      <c r="M5" s="9" t="s">
        <v>584</v>
      </c>
      <c r="N5" s="15" t="s">
        <v>152</v>
      </c>
      <c r="O5" s="2"/>
      <c r="P5" s="2"/>
      <c r="Q5" s="2"/>
      <c r="R5" s="2"/>
    </row>
    <row r="6" spans="2:18" ht="15.75" thickBot="1">
      <c r="B6" s="73" t="s">
        <v>5</v>
      </c>
      <c r="C6" s="74">
        <f>'a) CBR Crédito RF'!$C$7</f>
        <v>19390540.500455409</v>
      </c>
      <c r="D6" s="44">
        <f>'a) CBR Crédito RF'!$D$7</f>
        <v>4374756.8396199215</v>
      </c>
      <c r="E6" s="75">
        <f>'b1) CBR Crédito (MHE)'!$C$8</f>
        <v>3539213.034</v>
      </c>
      <c r="F6" s="75">
        <f>'b2) CBR Crédito (Préstamos)'!$C$7</f>
        <v>370000</v>
      </c>
      <c r="G6" s="75">
        <f>'c) CBR Crédito (Cleas)'!$C$8</f>
        <v>597445</v>
      </c>
      <c r="H6" s="44">
        <f>'d) CBR Crédito PxC '!$C$7</f>
        <v>1800000</v>
      </c>
      <c r="I6" s="44">
        <f>+'e1) CBR Crédito AxR'!E7</f>
        <v>289645.4702307281</v>
      </c>
      <c r="J6" s="44">
        <f>+'e.2) CBR Crédito AxR Terremoto'!C10</f>
        <v>0</v>
      </c>
      <c r="K6" s="44">
        <f>+'f) CBR Crédito Derivados'!F9</f>
        <v>0</v>
      </c>
      <c r="L6" s="44">
        <f>+'g) CBR Crédito Otros'!F8</f>
        <v>1200000</v>
      </c>
      <c r="M6" s="75">
        <f>+'Cap IV 3 Seguros con CUI'!F24</f>
        <v>0</v>
      </c>
      <c r="N6" s="70">
        <f>SUM(C6:H6)</f>
        <v>30071955.374075331</v>
      </c>
      <c r="O6" s="2"/>
      <c r="P6" s="2"/>
      <c r="Q6" s="2"/>
      <c r="R6" s="2"/>
    </row>
    <row r="7" spans="2:18" ht="15.75">
      <c r="B7" s="1"/>
      <c r="C7" s="2"/>
      <c r="D7" s="2"/>
      <c r="E7" s="2"/>
      <c r="F7" s="2"/>
      <c r="G7" s="2"/>
      <c r="H7" s="2"/>
      <c r="I7" s="2"/>
      <c r="J7" s="2"/>
      <c r="K7" s="2"/>
      <c r="L7" s="2"/>
      <c r="M7" s="2"/>
      <c r="N7" s="2"/>
      <c r="O7" s="2"/>
      <c r="P7" s="2"/>
      <c r="Q7" s="2"/>
    </row>
    <row r="8" spans="2:18" ht="15.75">
      <c r="B8" s="1"/>
      <c r="C8" s="2"/>
      <c r="D8" s="2"/>
      <c r="E8" s="2"/>
      <c r="F8" s="2"/>
      <c r="G8" s="2"/>
      <c r="H8" s="2"/>
      <c r="J8" s="651"/>
      <c r="K8" s="651"/>
      <c r="L8" s="651"/>
      <c r="M8" s="651"/>
      <c r="N8" s="2"/>
      <c r="O8" s="2"/>
      <c r="P8" s="2"/>
      <c r="Q8" s="2"/>
    </row>
  </sheetData>
  <pageMargins left="0.7" right="0.7" top="0.75" bottom="0.75" header="0.3" footer="0.3"/>
  <pageSetup scale="67" orientation="portrait" verticalDpi="597"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J35"/>
  <sheetViews>
    <sheetView showGridLines="0" zoomScaleNormal="100" workbookViewId="0">
      <selection activeCell="E7" sqref="E7"/>
    </sheetView>
  </sheetViews>
  <sheetFormatPr baseColWidth="10" defaultRowHeight="15"/>
  <cols>
    <col min="1" max="1" width="4.7109375" customWidth="1"/>
    <col min="2" max="2" width="20.7109375" customWidth="1"/>
    <col min="3" max="5" width="15.7109375" customWidth="1"/>
    <col min="7" max="7" width="20.7109375" customWidth="1"/>
    <col min="8" max="10" width="15.7109375" customWidth="1"/>
  </cols>
  <sheetData>
    <row r="1" spans="2:10" s="41" customFormat="1">
      <c r="B1" s="201" t="s">
        <v>171</v>
      </c>
    </row>
    <row r="2" spans="2:10" s="41" customFormat="1">
      <c r="B2" s="201" t="s">
        <v>150</v>
      </c>
    </row>
    <row r="3" spans="2:10" s="41" customFormat="1" ht="15.75">
      <c r="B3" s="206" t="s">
        <v>154</v>
      </c>
      <c r="C3" s="212"/>
      <c r="D3" s="212"/>
      <c r="E3" s="226"/>
    </row>
    <row r="4" spans="2:10" s="41" customFormat="1" ht="15.75" thickBot="1">
      <c r="B4" s="212"/>
      <c r="C4" s="212"/>
      <c r="D4" s="212"/>
      <c r="E4" s="212"/>
    </row>
    <row r="5" spans="2:10" ht="15.75" thickBot="1">
      <c r="B5" s="212"/>
      <c r="C5" s="3" t="s">
        <v>158</v>
      </c>
      <c r="D5" s="4"/>
      <c r="E5" s="5"/>
    </row>
    <row r="6" spans="2:10" ht="27" customHeight="1" thickBot="1">
      <c r="B6" s="6" t="s">
        <v>26</v>
      </c>
      <c r="C6" s="8" t="s">
        <v>153</v>
      </c>
      <c r="D6" s="7" t="s">
        <v>157</v>
      </c>
      <c r="E6" s="39" t="s">
        <v>156</v>
      </c>
    </row>
    <row r="7" spans="2:10" ht="15.75" thickBot="1">
      <c r="B7" s="73" t="s">
        <v>5</v>
      </c>
      <c r="C7" s="74">
        <f>+E33</f>
        <v>19390540.500455409</v>
      </c>
      <c r="D7" s="44">
        <f>+J33</f>
        <v>4374756.8396199215</v>
      </c>
      <c r="E7" s="46">
        <f>+C7+D7</f>
        <v>23765297.340075329</v>
      </c>
      <c r="G7" s="568"/>
    </row>
    <row r="8" spans="2:10" s="41" customFormat="1" ht="3" customHeight="1">
      <c r="B8" s="216"/>
      <c r="C8" s="18"/>
      <c r="D8" s="18"/>
      <c r="E8" s="18"/>
    </row>
    <row r="9" spans="2:10" s="41" customFormat="1" ht="48" customHeight="1">
      <c r="B9" s="943" t="s">
        <v>159</v>
      </c>
      <c r="C9" s="943"/>
      <c r="D9" s="943"/>
      <c r="E9" s="943"/>
    </row>
    <row r="10" spans="2:10" s="41" customFormat="1">
      <c r="B10" s="201"/>
      <c r="C10" s="212"/>
      <c r="D10" s="212"/>
      <c r="E10" s="212"/>
    </row>
    <row r="11" spans="2:10" s="41" customFormat="1" ht="15.75">
      <c r="B11" s="363" t="s">
        <v>364</v>
      </c>
      <c r="C11" s="18"/>
      <c r="D11" s="18"/>
      <c r="E11" s="18"/>
      <c r="G11" s="363" t="s">
        <v>365</v>
      </c>
      <c r="H11" s="18"/>
      <c r="I11" s="18"/>
      <c r="J11" s="18"/>
    </row>
    <row r="12" spans="2:10" ht="15.75" thickBot="1"/>
    <row r="13" spans="2:10" ht="15.75" thickBot="1">
      <c r="B13" s="101" t="s">
        <v>353</v>
      </c>
      <c r="C13" s="368" t="s">
        <v>36</v>
      </c>
      <c r="D13" s="369" t="s">
        <v>6</v>
      </c>
      <c r="E13" s="370" t="s">
        <v>37</v>
      </c>
      <c r="G13" s="101" t="s">
        <v>353</v>
      </c>
      <c r="H13" s="368" t="s">
        <v>36</v>
      </c>
      <c r="I13" s="369" t="s">
        <v>6</v>
      </c>
      <c r="J13" s="370" t="s">
        <v>37</v>
      </c>
    </row>
    <row r="14" spans="2:10" ht="25.5">
      <c r="B14" s="354" t="s">
        <v>352</v>
      </c>
      <c r="C14" s="574">
        <v>76824000</v>
      </c>
      <c r="D14" s="429">
        <v>0</v>
      </c>
      <c r="E14" s="356">
        <f>+C14*D14</f>
        <v>0</v>
      </c>
      <c r="G14" s="354" t="s">
        <v>382</v>
      </c>
      <c r="H14" s="355"/>
      <c r="I14" s="429">
        <v>0</v>
      </c>
      <c r="J14" s="356">
        <f>+H14*I14</f>
        <v>0</v>
      </c>
    </row>
    <row r="15" spans="2:10">
      <c r="B15" s="277" t="s">
        <v>29</v>
      </c>
      <c r="C15" s="357">
        <v>212122522.10153729</v>
      </c>
      <c r="D15" s="358">
        <v>0</v>
      </c>
      <c r="E15" s="359">
        <f t="shared" ref="E15:E32" si="0">+C15*D15</f>
        <v>0</v>
      </c>
      <c r="G15" s="277" t="s">
        <v>29</v>
      </c>
      <c r="H15" s="357"/>
      <c r="I15" s="358">
        <v>0</v>
      </c>
      <c r="J15" s="359">
        <f t="shared" ref="J15:J32" si="1">+H15*I15</f>
        <v>0</v>
      </c>
    </row>
    <row r="16" spans="2:10">
      <c r="B16" s="277" t="s">
        <v>354</v>
      </c>
      <c r="C16" s="357">
        <v>54533082.552102573</v>
      </c>
      <c r="D16" s="791">
        <v>6.0000000000000001E-3</v>
      </c>
      <c r="E16" s="359">
        <f t="shared" si="0"/>
        <v>327198.49531261547</v>
      </c>
      <c r="G16" s="277" t="s">
        <v>354</v>
      </c>
      <c r="H16" s="357">
        <v>3335355.6937278528</v>
      </c>
      <c r="I16" s="358">
        <v>0</v>
      </c>
      <c r="J16" s="359">
        <f t="shared" si="1"/>
        <v>0</v>
      </c>
    </row>
    <row r="17" spans="2:10">
      <c r="B17" s="277" t="s">
        <v>30</v>
      </c>
      <c r="C17" s="357">
        <v>217652489.77490062</v>
      </c>
      <c r="D17" s="358">
        <v>8.0000000000000002E-3</v>
      </c>
      <c r="E17" s="359">
        <f t="shared" si="0"/>
        <v>1741219.9181992051</v>
      </c>
      <c r="G17" s="277" t="s">
        <v>30</v>
      </c>
      <c r="H17" s="357">
        <v>1072015.9129221672</v>
      </c>
      <c r="I17" s="358">
        <v>0</v>
      </c>
      <c r="J17" s="359">
        <f t="shared" si="1"/>
        <v>0</v>
      </c>
    </row>
    <row r="18" spans="2:10">
      <c r="B18" s="277" t="s">
        <v>355</v>
      </c>
      <c r="C18" s="357">
        <v>118957229.14022386</v>
      </c>
      <c r="D18" s="358">
        <v>1.2999999999999999E-2</v>
      </c>
      <c r="E18" s="359">
        <f t="shared" si="0"/>
        <v>1546443.9788229102</v>
      </c>
      <c r="G18" s="277" t="s">
        <v>355</v>
      </c>
      <c r="H18" s="357">
        <v>1203606.6325002101</v>
      </c>
      <c r="I18" s="358">
        <v>0</v>
      </c>
      <c r="J18" s="359">
        <f t="shared" si="1"/>
        <v>0</v>
      </c>
    </row>
    <row r="19" spans="2:10">
      <c r="B19" s="277" t="s">
        <v>356</v>
      </c>
      <c r="C19" s="357">
        <v>115372002.60986717</v>
      </c>
      <c r="D19" s="358">
        <v>0.02</v>
      </c>
      <c r="E19" s="359">
        <f t="shared" si="0"/>
        <v>2307440.0521973437</v>
      </c>
      <c r="G19" s="277" t="s">
        <v>356</v>
      </c>
      <c r="H19" s="357">
        <v>215735.98748691782</v>
      </c>
      <c r="I19" s="791">
        <v>6.0000000000000001E-3</v>
      </c>
      <c r="J19" s="359">
        <f t="shared" si="1"/>
        <v>1294.415924921507</v>
      </c>
    </row>
    <row r="20" spans="2:10">
      <c r="B20" s="277" t="s">
        <v>31</v>
      </c>
      <c r="C20" s="357">
        <v>99529541.96986562</v>
      </c>
      <c r="D20" s="358">
        <v>2.5000000000000001E-2</v>
      </c>
      <c r="E20" s="359">
        <f t="shared" si="0"/>
        <v>2488238.5492466404</v>
      </c>
      <c r="G20" s="277" t="s">
        <v>31</v>
      </c>
      <c r="H20" s="357">
        <v>976439.54471982212</v>
      </c>
      <c r="I20" s="358">
        <v>8.0000000000000002E-3</v>
      </c>
      <c r="J20" s="359">
        <f t="shared" si="1"/>
        <v>7811.5163577585772</v>
      </c>
    </row>
    <row r="21" spans="2:10">
      <c r="B21" s="277" t="s">
        <v>357</v>
      </c>
      <c r="C21" s="357">
        <v>13802400.213361427</v>
      </c>
      <c r="D21" s="358">
        <v>0.04</v>
      </c>
      <c r="E21" s="359">
        <f t="shared" si="0"/>
        <v>552096.00853445707</v>
      </c>
      <c r="G21" s="277" t="s">
        <v>357</v>
      </c>
      <c r="H21" s="357">
        <v>3110426.4336796603</v>
      </c>
      <c r="I21" s="358">
        <v>1.2999999999999999E-2</v>
      </c>
      <c r="J21" s="359">
        <f t="shared" si="1"/>
        <v>40435.543637835581</v>
      </c>
    </row>
    <row r="22" spans="2:10">
      <c r="B22" s="277" t="s">
        <v>358</v>
      </c>
      <c r="C22" s="357">
        <v>15105573.478186728</v>
      </c>
      <c r="D22" s="358">
        <v>5.3999999999999999E-2</v>
      </c>
      <c r="E22" s="359">
        <f t="shared" si="0"/>
        <v>815700.96782208327</v>
      </c>
      <c r="G22" s="277" t="s">
        <v>358</v>
      </c>
      <c r="H22" s="357">
        <v>11450813.590645926</v>
      </c>
      <c r="I22" s="358">
        <v>0.02</v>
      </c>
      <c r="J22" s="359">
        <f t="shared" si="1"/>
        <v>229016.27181291854</v>
      </c>
    </row>
    <row r="23" spans="2:10">
      <c r="B23" s="277" t="s">
        <v>32</v>
      </c>
      <c r="C23" s="357">
        <v>20587931.109581962</v>
      </c>
      <c r="D23" s="358">
        <v>7.0000000000000007E-2</v>
      </c>
      <c r="E23" s="359">
        <f t="shared" si="0"/>
        <v>1441155.1776707375</v>
      </c>
      <c r="G23" s="277" t="s">
        <v>32</v>
      </c>
      <c r="H23" s="357">
        <v>35373339.002059914</v>
      </c>
      <c r="I23" s="358">
        <v>2.5000000000000001E-2</v>
      </c>
      <c r="J23" s="359">
        <f t="shared" si="1"/>
        <v>884333.47505149792</v>
      </c>
    </row>
    <row r="24" spans="2:10">
      <c r="B24" s="277" t="s">
        <v>359</v>
      </c>
      <c r="C24" s="357">
        <v>24853053.266197994</v>
      </c>
      <c r="D24" s="358">
        <v>0.08</v>
      </c>
      <c r="E24" s="359">
        <f t="shared" si="0"/>
        <v>1988244.2612958397</v>
      </c>
      <c r="G24" s="277" t="s">
        <v>359</v>
      </c>
      <c r="H24" s="357">
        <v>21546561.808618236</v>
      </c>
      <c r="I24" s="358">
        <v>0.04</v>
      </c>
      <c r="J24" s="359">
        <f t="shared" si="1"/>
        <v>861862.47234472947</v>
      </c>
    </row>
    <row r="25" spans="2:10">
      <c r="B25" s="277" t="s">
        <v>360</v>
      </c>
      <c r="C25" s="357">
        <v>2687704.9090732513</v>
      </c>
      <c r="D25" s="358">
        <v>0.1</v>
      </c>
      <c r="E25" s="359">
        <f t="shared" si="0"/>
        <v>268770.49090732512</v>
      </c>
      <c r="G25" s="277" t="s">
        <v>360</v>
      </c>
      <c r="H25" s="357">
        <v>13267479.858590227</v>
      </c>
      <c r="I25" s="358">
        <v>5.3999999999999999E-2</v>
      </c>
      <c r="J25" s="359">
        <f t="shared" si="1"/>
        <v>716443.91236387228</v>
      </c>
    </row>
    <row r="26" spans="2:10">
      <c r="B26" s="277" t="s">
        <v>33</v>
      </c>
      <c r="C26" s="357">
        <v>1519163.9659341362</v>
      </c>
      <c r="D26" s="358">
        <v>0.1</v>
      </c>
      <c r="E26" s="359">
        <f t="shared" si="0"/>
        <v>151916.39659341364</v>
      </c>
      <c r="G26" s="277" t="s">
        <v>33</v>
      </c>
      <c r="H26" s="357">
        <v>8994495.9261204079</v>
      </c>
      <c r="I26" s="358">
        <v>7.0000000000000007E-2</v>
      </c>
      <c r="J26" s="359">
        <f t="shared" si="1"/>
        <v>629614.71482842858</v>
      </c>
    </row>
    <row r="27" spans="2:10">
      <c r="B27" s="277" t="s">
        <v>361</v>
      </c>
      <c r="C27" s="357">
        <v>539623.23009040311</v>
      </c>
      <c r="D27" s="358">
        <v>0.1</v>
      </c>
      <c r="E27" s="359">
        <f t="shared" si="0"/>
        <v>53962.323009040316</v>
      </c>
      <c r="G27" s="277" t="s">
        <v>361</v>
      </c>
      <c r="H27" s="357">
        <v>4337324.8565697232</v>
      </c>
      <c r="I27" s="358">
        <v>0.08</v>
      </c>
      <c r="J27" s="359">
        <f t="shared" si="1"/>
        <v>346985.98852557788</v>
      </c>
    </row>
    <row r="28" spans="2:10">
      <c r="B28" s="277" t="s">
        <v>362</v>
      </c>
      <c r="C28" s="357"/>
      <c r="D28" s="358">
        <v>0.3</v>
      </c>
      <c r="E28" s="359">
        <f t="shared" si="0"/>
        <v>0</v>
      </c>
      <c r="G28" s="277" t="s">
        <v>362</v>
      </c>
      <c r="H28" s="357">
        <v>1481104.8881329505</v>
      </c>
      <c r="I28" s="358">
        <v>0.1</v>
      </c>
      <c r="J28" s="359">
        <f t="shared" si="1"/>
        <v>148110.48881329506</v>
      </c>
    </row>
    <row r="29" spans="2:10">
      <c r="B29" s="277" t="s">
        <v>34</v>
      </c>
      <c r="C29" s="357">
        <v>10624553.815798851</v>
      </c>
      <c r="D29" s="358">
        <v>0.3</v>
      </c>
      <c r="E29" s="359">
        <f t="shared" si="0"/>
        <v>3187366.1447396553</v>
      </c>
      <c r="G29" s="277" t="s">
        <v>34</v>
      </c>
      <c r="H29" s="357">
        <v>2077156.5250229901</v>
      </c>
      <c r="I29" s="358">
        <v>0.1</v>
      </c>
      <c r="J29" s="359">
        <f t="shared" si="1"/>
        <v>207715.65250229902</v>
      </c>
    </row>
    <row r="30" spans="2:10">
      <c r="B30" s="277" t="s">
        <v>363</v>
      </c>
      <c r="C30" s="357"/>
      <c r="D30" s="358">
        <v>0.3</v>
      </c>
      <c r="E30" s="359">
        <f t="shared" si="0"/>
        <v>0</v>
      </c>
      <c r="G30" s="277" t="s">
        <v>363</v>
      </c>
      <c r="H30" s="357">
        <v>837946.64741710422</v>
      </c>
      <c r="I30" s="358">
        <v>0.1</v>
      </c>
      <c r="J30" s="359">
        <f t="shared" si="1"/>
        <v>83794.664741710425</v>
      </c>
    </row>
    <row r="31" spans="2:10">
      <c r="B31" s="277" t="s">
        <v>15</v>
      </c>
      <c r="C31" s="357">
        <v>2175629.9395424374</v>
      </c>
      <c r="D31" s="358">
        <v>0.3</v>
      </c>
      <c r="E31" s="359">
        <f t="shared" si="0"/>
        <v>652688.98186273116</v>
      </c>
      <c r="G31" s="277" t="s">
        <v>15</v>
      </c>
      <c r="H31" s="357">
        <v>715934.30785486219</v>
      </c>
      <c r="I31" s="358">
        <v>0.3</v>
      </c>
      <c r="J31" s="359">
        <f t="shared" si="1"/>
        <v>214780.29235645864</v>
      </c>
    </row>
    <row r="32" spans="2:10" ht="15.75" thickBot="1">
      <c r="B32" s="278" t="s">
        <v>35</v>
      </c>
      <c r="C32" s="360">
        <v>3113497.9237356833</v>
      </c>
      <c r="D32" s="361">
        <v>0.6</v>
      </c>
      <c r="E32" s="362">
        <f t="shared" si="0"/>
        <v>1868098.7542414099</v>
      </c>
      <c r="G32" s="278" t="s">
        <v>35</v>
      </c>
      <c r="H32" s="360">
        <v>4262.3839310302828</v>
      </c>
      <c r="I32" s="361">
        <v>0.6</v>
      </c>
      <c r="J32" s="362">
        <f t="shared" si="1"/>
        <v>2557.4303586181695</v>
      </c>
    </row>
    <row r="33" spans="2:10" ht="15.75" thickBot="1">
      <c r="B33" s="15" t="s">
        <v>155</v>
      </c>
      <c r="C33" s="557">
        <f>SUM(C14:C32)</f>
        <v>990000000</v>
      </c>
      <c r="D33" s="558"/>
      <c r="E33" s="559">
        <f>SUM(E14:E32)</f>
        <v>19390540.500455409</v>
      </c>
      <c r="G33" s="15" t="s">
        <v>155</v>
      </c>
      <c r="H33" s="557">
        <f>SUM(H14:H32)</f>
        <v>109999999.99999999</v>
      </c>
      <c r="I33" s="558"/>
      <c r="J33" s="559">
        <f>SUM(J14:J32)</f>
        <v>4374756.8396199215</v>
      </c>
    </row>
    <row r="34" spans="2:10" ht="3" customHeight="1"/>
    <row r="35" spans="2:10">
      <c r="B35" s="667" t="s">
        <v>420</v>
      </c>
      <c r="C35" s="668"/>
      <c r="D35" s="668"/>
      <c r="E35" s="668"/>
      <c r="F35" s="321"/>
      <c r="G35" s="667" t="s">
        <v>420</v>
      </c>
    </row>
  </sheetData>
  <mergeCells count="1">
    <mergeCell ref="B9:E9"/>
  </mergeCells>
  <pageMargins left="0.7" right="0.7" top="0.75" bottom="0.75" header="0.3" footer="0.3"/>
  <pageSetup scale="60" orientation="portrait" verticalDpi="597"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F11"/>
  <sheetViews>
    <sheetView showGridLines="0" zoomScaleNormal="100" workbookViewId="0">
      <selection activeCell="C8" sqref="C8"/>
    </sheetView>
  </sheetViews>
  <sheetFormatPr baseColWidth="10" defaultRowHeight="15"/>
  <cols>
    <col min="1" max="1" width="4.7109375" style="321" customWidth="1"/>
    <col min="2" max="2" width="36.7109375" style="321" customWidth="1"/>
    <col min="3" max="6" width="17.7109375" style="321" customWidth="1"/>
    <col min="7" max="9" width="16.85546875" style="321" customWidth="1"/>
    <col min="10" max="10" width="14.7109375" style="321" customWidth="1"/>
    <col min="11" max="16384" width="11.42578125" style="321"/>
  </cols>
  <sheetData>
    <row r="1" spans="2:6" s="312" customFormat="1">
      <c r="B1" s="219" t="s">
        <v>171</v>
      </c>
      <c r="C1" s="344"/>
      <c r="D1" s="344"/>
      <c r="E1" s="344"/>
      <c r="F1" s="344"/>
    </row>
    <row r="2" spans="2:6" s="312" customFormat="1">
      <c r="B2" s="201" t="s">
        <v>150</v>
      </c>
      <c r="C2" s="344"/>
      <c r="D2" s="344"/>
      <c r="E2" s="344"/>
      <c r="F2" s="344"/>
    </row>
    <row r="3" spans="2:6" s="312" customFormat="1" ht="15.75">
      <c r="B3" s="366" t="s">
        <v>351</v>
      </c>
      <c r="C3" s="344"/>
      <c r="D3" s="344"/>
      <c r="E3" s="371"/>
      <c r="F3" s="344"/>
    </row>
    <row r="4" spans="2:6" s="312" customFormat="1" ht="15.75" thickBot="1">
      <c r="B4" s="344"/>
      <c r="C4" s="344"/>
      <c r="D4" s="344"/>
      <c r="E4" s="344"/>
      <c r="F4" s="344"/>
    </row>
    <row r="5" spans="2:6" ht="15.75" thickBot="1">
      <c r="B5" s="97" t="s">
        <v>16</v>
      </c>
      <c r="C5" s="364" t="s">
        <v>197</v>
      </c>
      <c r="D5" s="312"/>
      <c r="E5" s="344"/>
      <c r="F5" s="344"/>
    </row>
    <row r="6" spans="2:6">
      <c r="B6" s="324" t="s">
        <v>36</v>
      </c>
      <c r="C6" s="406">
        <v>126400465.5</v>
      </c>
      <c r="D6" s="312"/>
      <c r="E6" s="344"/>
      <c r="F6" s="344"/>
    </row>
    <row r="7" spans="2:6">
      <c r="B7" s="347" t="s">
        <v>487</v>
      </c>
      <c r="C7" s="669">
        <v>2.8000000000000001E-2</v>
      </c>
      <c r="D7" s="519"/>
      <c r="E7" s="344"/>
      <c r="F7" s="344"/>
    </row>
    <row r="8" spans="2:6" ht="15.75" thickBot="1">
      <c r="B8" s="76" t="s">
        <v>37</v>
      </c>
      <c r="C8" s="373">
        <f>+C6*C7</f>
        <v>3539213.034</v>
      </c>
      <c r="D8" s="312"/>
      <c r="E8" s="344"/>
      <c r="F8" s="344"/>
    </row>
    <row r="9" spans="2:6" s="312" customFormat="1" ht="3" customHeight="1">
      <c r="B9" s="344"/>
      <c r="C9" s="344"/>
      <c r="D9" s="344"/>
      <c r="E9" s="344"/>
      <c r="F9" s="344"/>
    </row>
    <row r="10" spans="2:6" s="312" customFormat="1" ht="45" customHeight="1">
      <c r="B10" s="944" t="s">
        <v>637</v>
      </c>
      <c r="C10" s="944"/>
      <c r="D10" s="827"/>
      <c r="E10" s="827"/>
      <c r="F10" s="827"/>
    </row>
    <row r="11" spans="2:6" s="312" customFormat="1">
      <c r="B11" s="219"/>
      <c r="C11" s="344"/>
      <c r="D11" s="344"/>
      <c r="E11" s="344"/>
      <c r="F11" s="344"/>
    </row>
  </sheetData>
  <mergeCells count="1">
    <mergeCell ref="B10:C10"/>
  </mergeCells>
  <pageMargins left="0.7" right="0.7" top="0.75" bottom="0.75" header="0.3" footer="0.3"/>
  <pageSetup scale="80" orientation="portrait" verticalDpi="597"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J19"/>
  <sheetViews>
    <sheetView showGridLines="0" topLeftCell="B1" zoomScaleNormal="100" workbookViewId="0">
      <selection activeCell="I16" sqref="I16"/>
    </sheetView>
  </sheetViews>
  <sheetFormatPr baseColWidth="10" defaultRowHeight="15"/>
  <cols>
    <col min="1" max="1" width="4.7109375" customWidth="1"/>
    <col min="2" max="2" width="36.7109375" customWidth="1"/>
    <col min="3" max="9" width="14.7109375" customWidth="1"/>
    <col min="10" max="10" width="16.7109375" customWidth="1"/>
    <col min="11" max="11" width="14.7109375" customWidth="1"/>
  </cols>
  <sheetData>
    <row r="1" spans="2:10" s="41" customFormat="1">
      <c r="B1" s="201" t="s">
        <v>171</v>
      </c>
    </row>
    <row r="2" spans="2:10" s="41" customFormat="1">
      <c r="B2" s="201" t="s">
        <v>150</v>
      </c>
    </row>
    <row r="3" spans="2:10" s="41" customFormat="1" ht="15.75">
      <c r="B3" s="206" t="s">
        <v>375</v>
      </c>
      <c r="E3" s="227"/>
    </row>
    <row r="4" spans="2:10" s="41" customFormat="1" ht="15.75" thickBot="1"/>
    <row r="5" spans="2:10" ht="15.75" thickBot="1">
      <c r="B5" s="97" t="s">
        <v>16</v>
      </c>
      <c r="C5" s="98" t="s">
        <v>372</v>
      </c>
      <c r="D5" s="100" t="s">
        <v>155</v>
      </c>
      <c r="F5" s="41"/>
      <c r="G5" s="41"/>
      <c r="H5" s="41"/>
      <c r="I5" s="41"/>
      <c r="J5" s="41"/>
    </row>
    <row r="6" spans="2:10">
      <c r="B6" s="62" t="s">
        <v>36</v>
      </c>
      <c r="C6" s="49">
        <f>+I14</f>
        <v>15000000</v>
      </c>
      <c r="D6" s="104">
        <f>+C6</f>
        <v>15000000</v>
      </c>
      <c r="F6" s="41"/>
      <c r="G6" s="41"/>
      <c r="H6" s="41"/>
      <c r="I6" s="41"/>
      <c r="J6" s="41"/>
    </row>
    <row r="7" spans="2:10" ht="15.75" thickBot="1">
      <c r="B7" s="73" t="s">
        <v>37</v>
      </c>
      <c r="C7" s="44">
        <f>+I16</f>
        <v>370000</v>
      </c>
      <c r="D7" s="128">
        <f>+C7</f>
        <v>370000</v>
      </c>
      <c r="F7" s="41"/>
      <c r="G7" s="41"/>
      <c r="H7" s="41"/>
      <c r="I7" s="41"/>
      <c r="J7" s="41"/>
    </row>
    <row r="8" spans="2:10" s="41" customFormat="1" ht="3" customHeight="1"/>
    <row r="9" spans="2:10" s="41" customFormat="1">
      <c r="B9" s="943" t="s">
        <v>374</v>
      </c>
      <c r="C9" s="943"/>
      <c r="D9" s="943"/>
      <c r="E9" s="943"/>
      <c r="F9" s="943"/>
      <c r="G9" s="943"/>
      <c r="H9" s="943"/>
      <c r="I9" s="943"/>
    </row>
    <row r="10" spans="2:10" s="41" customFormat="1" ht="15.75" thickBot="1">
      <c r="C10" s="18"/>
      <c r="D10" s="18"/>
      <c r="E10" s="18"/>
      <c r="F10" s="18"/>
      <c r="G10" s="18"/>
      <c r="H10" s="18"/>
    </row>
    <row r="11" spans="2:10" ht="15.75" thickBot="1">
      <c r="B11" s="6" t="s">
        <v>137</v>
      </c>
      <c r="C11" s="3" t="s">
        <v>372</v>
      </c>
      <c r="D11" s="13"/>
      <c r="E11" s="13"/>
      <c r="F11" s="13"/>
      <c r="G11" s="13"/>
      <c r="H11" s="14"/>
      <c r="I11" s="41"/>
    </row>
    <row r="12" spans="2:10" ht="15.75" thickBot="1">
      <c r="B12" s="949" t="s">
        <v>16</v>
      </c>
      <c r="C12" s="929" t="s">
        <v>370</v>
      </c>
      <c r="D12" s="947" t="s">
        <v>371</v>
      </c>
      <c r="E12" s="931" t="s">
        <v>434</v>
      </c>
      <c r="F12" s="932"/>
      <c r="G12" s="932"/>
      <c r="H12" s="933"/>
      <c r="I12" s="39" t="s">
        <v>155</v>
      </c>
    </row>
    <row r="13" spans="2:10" ht="15.75" thickBot="1">
      <c r="B13" s="950"/>
      <c r="C13" s="946"/>
      <c r="D13" s="948"/>
      <c r="E13" s="670" t="s">
        <v>326</v>
      </c>
      <c r="F13" s="671" t="s">
        <v>31</v>
      </c>
      <c r="G13" s="671" t="s">
        <v>32</v>
      </c>
      <c r="H13" s="672" t="s">
        <v>433</v>
      </c>
      <c r="I13" s="19"/>
    </row>
    <row r="14" spans="2:10">
      <c r="B14" s="62" t="s">
        <v>36</v>
      </c>
      <c r="C14" s="536">
        <v>9000000</v>
      </c>
      <c r="D14" s="582">
        <v>1000000</v>
      </c>
      <c r="E14" s="379"/>
      <c r="F14" s="535">
        <v>5000000</v>
      </c>
      <c r="G14" s="375"/>
      <c r="H14" s="345"/>
      <c r="I14" s="258">
        <f>SUM(C14:H14)</f>
        <v>15000000</v>
      </c>
      <c r="J14" s="137"/>
    </row>
    <row r="15" spans="2:10">
      <c r="B15" s="58" t="s">
        <v>6</v>
      </c>
      <c r="C15" s="533">
        <v>0.01</v>
      </c>
      <c r="D15" s="531">
        <v>0.08</v>
      </c>
      <c r="E15" s="380">
        <v>1.6E-2</v>
      </c>
      <c r="F15" s="377">
        <v>0.04</v>
      </c>
      <c r="G15" s="377">
        <v>0.08</v>
      </c>
      <c r="H15" s="378">
        <v>0.12</v>
      </c>
      <c r="I15" s="260"/>
      <c r="J15" s="137"/>
    </row>
    <row r="16" spans="2:10" ht="15.75" thickBot="1">
      <c r="B16" s="73" t="s">
        <v>37</v>
      </c>
      <c r="C16" s="534">
        <f t="shared" ref="C16:D16" si="0">+C14*C15</f>
        <v>90000</v>
      </c>
      <c r="D16" s="532">
        <f t="shared" si="0"/>
        <v>80000</v>
      </c>
      <c r="E16" s="381">
        <f t="shared" ref="E16:H16" si="1">+E14*E15</f>
        <v>0</v>
      </c>
      <c r="F16" s="376">
        <f t="shared" si="1"/>
        <v>200000</v>
      </c>
      <c r="G16" s="376">
        <f t="shared" ref="G16" si="2">+G14*G15</f>
        <v>0</v>
      </c>
      <c r="H16" s="318">
        <f t="shared" si="1"/>
        <v>0</v>
      </c>
      <c r="I16" s="259">
        <f>SUM(C16:H16)</f>
        <v>370000</v>
      </c>
      <c r="J16" s="137"/>
    </row>
    <row r="17" spans="2:9" s="41" customFormat="1" ht="3" customHeight="1">
      <c r="B17" s="216"/>
      <c r="C17" s="18"/>
      <c r="D17" s="18"/>
      <c r="E17" s="18"/>
      <c r="F17" s="18"/>
      <c r="G17" s="18"/>
      <c r="H17" s="18"/>
    </row>
    <row r="18" spans="2:9" s="41" customFormat="1" ht="30" customHeight="1">
      <c r="B18" s="945" t="s">
        <v>432</v>
      </c>
      <c r="C18" s="945"/>
      <c r="D18" s="945"/>
      <c r="E18" s="945"/>
      <c r="F18" s="945"/>
      <c r="G18" s="945"/>
      <c r="H18" s="945"/>
      <c r="I18" s="945"/>
    </row>
    <row r="19" spans="2:9">
      <c r="B19" s="945" t="s">
        <v>517</v>
      </c>
      <c r="C19" s="945"/>
      <c r="D19" s="945"/>
      <c r="E19" s="945"/>
      <c r="F19" s="945"/>
      <c r="G19" s="945"/>
      <c r="H19" s="945"/>
      <c r="I19" s="945"/>
    </row>
  </sheetData>
  <mergeCells count="7">
    <mergeCell ref="B19:I19"/>
    <mergeCell ref="B9:I9"/>
    <mergeCell ref="B18:I18"/>
    <mergeCell ref="E12:H12"/>
    <mergeCell ref="C12:C13"/>
    <mergeCell ref="D12:D13"/>
    <mergeCell ref="B12:B13"/>
  </mergeCells>
  <pageMargins left="0.7" right="0.7" top="0.75" bottom="0.75" header="0.3" footer="0.3"/>
  <pageSetup scale="63" orientation="portrait" verticalDpi="597"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O8"/>
  <sheetViews>
    <sheetView showGridLines="0" zoomScaleNormal="100" workbookViewId="0">
      <selection activeCell="O5" sqref="O5"/>
    </sheetView>
  </sheetViews>
  <sheetFormatPr baseColWidth="10" defaultRowHeight="15"/>
  <cols>
    <col min="1" max="1" width="2.7109375" customWidth="1"/>
    <col min="2" max="2" width="14.7109375" customWidth="1"/>
    <col min="3" max="14" width="12.7109375" customWidth="1"/>
    <col min="15" max="15" width="12.5703125" customWidth="1"/>
  </cols>
  <sheetData>
    <row r="1" spans="2:15" s="41" customFormat="1" ht="20.25">
      <c r="B1" s="210" t="s">
        <v>171</v>
      </c>
    </row>
    <row r="2" spans="2:15" s="41" customFormat="1" ht="20.25">
      <c r="B2" s="210" t="s">
        <v>71</v>
      </c>
      <c r="C2" s="211"/>
      <c r="D2" s="211"/>
      <c r="E2" s="211"/>
      <c r="F2" s="211"/>
      <c r="G2" s="212"/>
      <c r="H2" s="212"/>
      <c r="I2" s="212"/>
      <c r="J2" s="212"/>
      <c r="K2" s="212"/>
      <c r="L2" s="212"/>
      <c r="M2" s="212"/>
      <c r="N2" s="211"/>
    </row>
    <row r="3" spans="2:15" s="41" customFormat="1" ht="15.75" thickBot="1">
      <c r="B3" s="201"/>
      <c r="C3" s="212"/>
      <c r="D3" s="212"/>
      <c r="E3" s="212"/>
      <c r="F3" s="212"/>
      <c r="G3" s="212"/>
      <c r="H3" s="212"/>
      <c r="I3" s="212"/>
      <c r="J3" s="212"/>
      <c r="K3" s="212"/>
      <c r="L3" s="212"/>
      <c r="M3" s="212"/>
      <c r="N3" s="211"/>
    </row>
    <row r="4" spans="2:15" ht="18" customHeight="1" thickBot="1">
      <c r="B4" s="212"/>
      <c r="C4" s="904" t="s">
        <v>110</v>
      </c>
      <c r="D4" s="905"/>
      <c r="E4" s="905"/>
      <c r="F4" s="905"/>
      <c r="G4" s="905"/>
      <c r="H4" s="905"/>
      <c r="I4" s="905"/>
      <c r="J4" s="905"/>
      <c r="K4" s="905"/>
      <c r="L4" s="905"/>
      <c r="M4" s="905"/>
      <c r="N4" s="906"/>
      <c r="O4" s="211"/>
    </row>
    <row r="5" spans="2:15" ht="77.25" thickBot="1">
      <c r="B5" s="6" t="s">
        <v>26</v>
      </c>
      <c r="C5" s="875" t="s">
        <v>638</v>
      </c>
      <c r="D5" s="849" t="s">
        <v>66</v>
      </c>
      <c r="E5" s="849" t="s">
        <v>67</v>
      </c>
      <c r="F5" s="849" t="s">
        <v>109</v>
      </c>
      <c r="G5" s="849" t="s">
        <v>27</v>
      </c>
      <c r="H5" s="849" t="s">
        <v>58</v>
      </c>
      <c r="I5" s="849" t="s">
        <v>28</v>
      </c>
      <c r="J5" s="849" t="s">
        <v>490</v>
      </c>
      <c r="K5" s="849" t="s">
        <v>491</v>
      </c>
      <c r="L5" s="849" t="s">
        <v>492</v>
      </c>
      <c r="M5" s="849" t="s">
        <v>378</v>
      </c>
      <c r="N5" s="850" t="s">
        <v>100</v>
      </c>
      <c r="O5" s="898" t="s">
        <v>683</v>
      </c>
    </row>
    <row r="6" spans="2:15" ht="25.5" customHeight="1" thickBot="1">
      <c r="B6" s="591" t="s">
        <v>5</v>
      </c>
      <c r="C6" s="876">
        <f>+'a) Acciones'!J14</f>
        <v>8962242.3104808498</v>
      </c>
      <c r="D6" s="592">
        <f>+'b1) RF Nac Estatales'!G9+'b2) RF Nac No Sec'!G9+'b3) RF Nac Sec'!G9</f>
        <v>3552747.5940945987</v>
      </c>
      <c r="E6" s="592">
        <f>+'b4) RF Ext Estatales'!G9+'b5) RF Ext No Sec'!G9+'b6) RF Ext Sec'!G9</f>
        <v>190316.71732522792</v>
      </c>
      <c r="F6" s="592">
        <f>'c) BBRR'!$G$10</f>
        <v>15000000</v>
      </c>
      <c r="G6" s="592">
        <f>'d) Fondos'!$I$9</f>
        <v>10009000</v>
      </c>
      <c r="H6" s="592">
        <f>'e) Moneda'!$I$7</f>
        <v>224000</v>
      </c>
      <c r="I6" s="592">
        <f>'f) Derivados'!$H$37</f>
        <v>450000</v>
      </c>
      <c r="J6" s="592">
        <f>+'Cap IV 3 Seguros con CUI'!G13</f>
        <v>500000</v>
      </c>
      <c r="K6" s="592">
        <f>+'Cap IV CBR 4.1 Activos RF R Mat'!C15</f>
        <v>2556573.0752794519</v>
      </c>
      <c r="L6" s="592">
        <f>+'Cap IV 2 CBR SIS'!C47</f>
        <v>554932.58802156011</v>
      </c>
      <c r="M6" s="592">
        <f>-('Cap IV 1 RRVV (TSA)'!E28+'Cap IV 1 RRVV (TSA)'!E29)*uf/1000</f>
        <v>42900519.921045162</v>
      </c>
      <c r="N6" s="593">
        <f>'g) Otros'!$I$9</f>
        <v>1450000</v>
      </c>
      <c r="O6" s="594">
        <f>SUM(C6:N6)</f>
        <v>86350332.206246853</v>
      </c>
    </row>
    <row r="7" spans="2:15" s="41" customFormat="1" ht="3" customHeight="1">
      <c r="B7" s="212"/>
      <c r="C7" s="212"/>
      <c r="D7" s="212"/>
      <c r="E7" s="212"/>
      <c r="F7" s="212"/>
      <c r="G7" s="212"/>
      <c r="H7" s="212"/>
      <c r="I7" s="212"/>
      <c r="J7" s="212"/>
      <c r="K7" s="212"/>
      <c r="L7" s="212"/>
      <c r="M7" s="212"/>
      <c r="N7" s="211"/>
    </row>
    <row r="8" spans="2:15" s="41" customFormat="1" ht="35.25" customHeight="1">
      <c r="B8" s="903" t="s">
        <v>385</v>
      </c>
      <c r="C8" s="903"/>
      <c r="D8" s="903"/>
      <c r="E8" s="903"/>
      <c r="F8" s="903"/>
      <c r="G8" s="903"/>
      <c r="H8" s="903"/>
      <c r="I8" s="903"/>
      <c r="J8" s="903"/>
      <c r="K8" s="903"/>
      <c r="L8" s="903"/>
      <c r="M8" s="903"/>
      <c r="N8" s="903"/>
    </row>
  </sheetData>
  <mergeCells count="2">
    <mergeCell ref="B8:N8"/>
    <mergeCell ref="C4:N4"/>
  </mergeCells>
  <pageMargins left="0.7" right="0.7" top="0.75" bottom="0.75" header="0.3" footer="0.3"/>
  <pageSetup scale="72" orientation="landscape" verticalDpi="597"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I22"/>
  <sheetViews>
    <sheetView showGridLines="0" zoomScaleNormal="100" workbookViewId="0">
      <selection activeCell="C6" sqref="C6"/>
    </sheetView>
  </sheetViews>
  <sheetFormatPr baseColWidth="10" defaultRowHeight="15"/>
  <cols>
    <col min="1" max="1" width="4.7109375" customWidth="1"/>
    <col min="2" max="2" width="36.7109375" customWidth="1"/>
    <col min="3" max="9" width="16.7109375" customWidth="1"/>
    <col min="10" max="12" width="16.85546875" customWidth="1"/>
    <col min="13" max="13" width="14.7109375" customWidth="1"/>
  </cols>
  <sheetData>
    <row r="1" spans="2:9" s="41" customFormat="1">
      <c r="B1" s="201" t="s">
        <v>171</v>
      </c>
    </row>
    <row r="2" spans="2:9" s="41" customFormat="1">
      <c r="B2" s="201" t="s">
        <v>150</v>
      </c>
    </row>
    <row r="3" spans="2:9" s="41" customFormat="1" ht="15.75">
      <c r="B3" s="206" t="s">
        <v>369</v>
      </c>
      <c r="E3" s="227"/>
    </row>
    <row r="4" spans="2:9" s="41" customFormat="1" ht="15.75" thickBot="1"/>
    <row r="5" spans="2:9" s="41" customFormat="1" ht="26.25" thickBot="1">
      <c r="C5" s="15" t="s">
        <v>366</v>
      </c>
      <c r="D5"/>
    </row>
    <row r="6" spans="2:9" ht="15.75" thickBot="1">
      <c r="B6" s="97" t="s">
        <v>16</v>
      </c>
      <c r="C6" s="364" t="s">
        <v>155</v>
      </c>
      <c r="F6" s="41"/>
      <c r="G6" s="41"/>
      <c r="H6" s="41"/>
      <c r="I6" s="41"/>
    </row>
    <row r="7" spans="2:9">
      <c r="B7" s="62" t="s">
        <v>36</v>
      </c>
      <c r="C7" s="140">
        <f>+F14</f>
        <v>116279000</v>
      </c>
      <c r="F7" s="41"/>
      <c r="G7" s="41"/>
      <c r="H7" s="41"/>
      <c r="I7" s="41"/>
    </row>
    <row r="8" spans="2:9" ht="15.75" thickBot="1">
      <c r="B8" s="73" t="s">
        <v>37</v>
      </c>
      <c r="C8" s="141">
        <f>+F16</f>
        <v>597445</v>
      </c>
      <c r="F8" s="41"/>
      <c r="G8" s="41"/>
      <c r="H8" s="41"/>
      <c r="I8" s="41"/>
    </row>
    <row r="9" spans="2:9" s="41" customFormat="1" ht="3" customHeight="1"/>
    <row r="10" spans="2:9" s="41" customFormat="1" ht="30" customHeight="1">
      <c r="B10" s="943" t="s">
        <v>373</v>
      </c>
      <c r="C10" s="943"/>
      <c r="D10" s="943"/>
      <c r="E10" s="943"/>
      <c r="F10" s="943"/>
    </row>
    <row r="11" spans="2:9" s="41" customFormat="1" ht="15.75" thickBot="1">
      <c r="C11" s="18"/>
      <c r="D11" s="18"/>
      <c r="E11" s="18"/>
      <c r="F11" s="18"/>
      <c r="G11" s="18"/>
    </row>
    <row r="12" spans="2:9" ht="15.75" thickBot="1">
      <c r="B12" s="6" t="s">
        <v>169</v>
      </c>
      <c r="C12" s="3" t="s">
        <v>0</v>
      </c>
      <c r="D12" s="4"/>
      <c r="E12" s="14"/>
      <c r="F12" s="18"/>
      <c r="G12" s="41"/>
      <c r="H12" s="41"/>
      <c r="I12" s="41"/>
    </row>
    <row r="13" spans="2:9" ht="15.75" thickBot="1">
      <c r="B13" s="6" t="s">
        <v>16</v>
      </c>
      <c r="C13" s="11" t="s">
        <v>39</v>
      </c>
      <c r="D13" s="12" t="s">
        <v>40</v>
      </c>
      <c r="E13" s="38" t="s">
        <v>41</v>
      </c>
      <c r="F13" s="352" t="s">
        <v>155</v>
      </c>
      <c r="G13" s="41"/>
      <c r="H13" s="41"/>
      <c r="I13" s="41"/>
    </row>
    <row r="14" spans="2:9">
      <c r="B14" s="62" t="s">
        <v>36</v>
      </c>
      <c r="C14" s="121">
        <f>130870000-15221000</f>
        <v>115649000</v>
      </c>
      <c r="D14" s="537">
        <v>624000</v>
      </c>
      <c r="E14" s="104">
        <v>6000</v>
      </c>
      <c r="F14" s="63">
        <f>+C14+D14+E14</f>
        <v>116279000</v>
      </c>
      <c r="G14" s="41"/>
      <c r="H14" s="41"/>
      <c r="I14" s="41"/>
    </row>
    <row r="15" spans="2:9">
      <c r="B15" s="89" t="s">
        <v>6</v>
      </c>
      <c r="C15" s="91">
        <v>5.0000000000000001E-3</v>
      </c>
      <c r="D15" s="92">
        <v>0.03</v>
      </c>
      <c r="E15" s="93">
        <v>0.08</v>
      </c>
      <c r="F15" s="90"/>
      <c r="G15" s="41"/>
      <c r="H15" s="41"/>
      <c r="I15" s="41"/>
    </row>
    <row r="16" spans="2:9" ht="15.75" thickBot="1">
      <c r="B16" s="73" t="s">
        <v>37</v>
      </c>
      <c r="C16" s="123">
        <f>+C14*C15</f>
        <v>578245</v>
      </c>
      <c r="D16" s="538">
        <f t="shared" ref="D16:E16" si="0">+D14*D15</f>
        <v>18720</v>
      </c>
      <c r="E16" s="128">
        <f t="shared" si="0"/>
        <v>480</v>
      </c>
      <c r="F16" s="46">
        <f>+C16+D16+E16</f>
        <v>597445</v>
      </c>
      <c r="G16" s="18"/>
      <c r="H16" s="41"/>
      <c r="I16" s="41"/>
    </row>
    <row r="17" spans="2:9" s="41" customFormat="1">
      <c r="B17" s="216"/>
      <c r="C17" s="583"/>
      <c r="D17" s="18"/>
      <c r="E17" s="18"/>
      <c r="F17" s="18"/>
      <c r="G17" s="18"/>
    </row>
    <row r="18" spans="2:9" s="41" customFormat="1" ht="15.75" thickBot="1">
      <c r="B18" s="353" t="s">
        <v>52</v>
      </c>
      <c r="C18" s="212"/>
      <c r="D18" s="212"/>
      <c r="E18" s="212"/>
    </row>
    <row r="19" spans="2:9" ht="30" customHeight="1" thickBot="1">
      <c r="B19" s="34" t="s">
        <v>48</v>
      </c>
      <c r="C19" s="352" t="s">
        <v>49</v>
      </c>
      <c r="D19" s="212"/>
      <c r="E19" s="212"/>
      <c r="F19" s="41"/>
      <c r="G19" s="41"/>
      <c r="H19" s="41"/>
      <c r="I19" s="41"/>
    </row>
    <row r="20" spans="2:9">
      <c r="B20" s="94" t="s">
        <v>50</v>
      </c>
      <c r="C20" s="35">
        <v>5.0000000000000001E-3</v>
      </c>
      <c r="D20" s="212"/>
      <c r="E20" s="212"/>
      <c r="F20" s="41"/>
      <c r="G20" s="41"/>
      <c r="H20" s="41"/>
      <c r="I20" s="41"/>
    </row>
    <row r="21" spans="2:9">
      <c r="B21" s="95" t="s">
        <v>51</v>
      </c>
      <c r="C21" s="37">
        <v>0.03</v>
      </c>
      <c r="D21" s="212"/>
      <c r="E21" s="212"/>
      <c r="F21" s="41"/>
      <c r="G21" s="41"/>
      <c r="H21" s="41"/>
      <c r="I21" s="41"/>
    </row>
    <row r="22" spans="2:9" ht="15.75" thickBot="1">
      <c r="B22" s="96" t="s">
        <v>101</v>
      </c>
      <c r="C22" s="36">
        <v>0.08</v>
      </c>
      <c r="D22" s="212"/>
      <c r="E22" s="212"/>
      <c r="F22" s="41"/>
      <c r="G22" s="41"/>
      <c r="H22" s="41"/>
      <c r="I22" s="41"/>
    </row>
  </sheetData>
  <mergeCells count="1">
    <mergeCell ref="B10:F10"/>
  </mergeCells>
  <pageMargins left="0.7" right="0.7" top="0.75" bottom="0.75" header="0.3" footer="0.3"/>
  <pageSetup scale="84" orientation="portrait" verticalDpi="597"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E17"/>
  <sheetViews>
    <sheetView showGridLines="0" zoomScaleNormal="100" workbookViewId="0">
      <selection activeCell="C16" sqref="C16"/>
    </sheetView>
  </sheetViews>
  <sheetFormatPr baseColWidth="10" defaultRowHeight="15"/>
  <cols>
    <col min="1" max="1" width="4.7109375" customWidth="1"/>
    <col min="2" max="2" width="41.7109375" customWidth="1"/>
    <col min="3" max="6" width="16.7109375" customWidth="1"/>
    <col min="7" max="9" width="16.85546875" customWidth="1"/>
    <col min="10" max="10" width="14.7109375" customWidth="1"/>
  </cols>
  <sheetData>
    <row r="1" spans="2:5" s="41" customFormat="1">
      <c r="B1" s="201" t="s">
        <v>171</v>
      </c>
    </row>
    <row r="2" spans="2:5" s="41" customFormat="1">
      <c r="B2" s="201" t="s">
        <v>150</v>
      </c>
    </row>
    <row r="3" spans="2:5" s="41" customFormat="1" ht="15.75">
      <c r="B3" s="366" t="s">
        <v>550</v>
      </c>
    </row>
    <row r="4" spans="2:5" s="41" customFormat="1" ht="15.75" thickBot="1"/>
    <row r="5" spans="2:5" ht="26.25" thickBot="1">
      <c r="B5" s="97" t="s">
        <v>16</v>
      </c>
      <c r="C5" s="236" t="s">
        <v>38</v>
      </c>
      <c r="D5" s="41"/>
      <c r="E5" s="41"/>
    </row>
    <row r="6" spans="2:5">
      <c r="B6" s="313" t="s">
        <v>36</v>
      </c>
      <c r="C6" s="383">
        <f>+C14</f>
        <v>45000000</v>
      </c>
      <c r="D6" s="41"/>
      <c r="E6" s="41"/>
    </row>
    <row r="7" spans="2:5" ht="15.75" thickBot="1">
      <c r="B7" s="76" t="s">
        <v>37</v>
      </c>
      <c r="C7" s="350">
        <f>+C16</f>
        <v>1800000</v>
      </c>
      <c r="D7" s="41"/>
      <c r="E7" s="41"/>
    </row>
    <row r="8" spans="2:5" s="41" customFormat="1" ht="3" customHeight="1">
      <c r="B8" s="312"/>
      <c r="C8" s="312"/>
    </row>
    <row r="9" spans="2:5" s="41" customFormat="1" ht="42" customHeight="1">
      <c r="B9" s="944" t="s">
        <v>549</v>
      </c>
      <c r="C9" s="944"/>
      <c r="D9" s="717"/>
    </row>
    <row r="10" spans="2:5" s="41" customFormat="1" ht="15.75" thickBot="1">
      <c r="B10" s="312"/>
      <c r="C10" s="320"/>
      <c r="D10" s="18"/>
    </row>
    <row r="11" spans="2:5" s="41" customFormat="1" ht="15.75" thickBot="1">
      <c r="B11" s="97" t="s">
        <v>324</v>
      </c>
      <c r="C11" s="322" t="s">
        <v>37</v>
      </c>
      <c r="D11" s="18"/>
    </row>
    <row r="12" spans="2:5" s="41" customFormat="1">
      <c r="B12" s="313" t="s">
        <v>319</v>
      </c>
      <c r="C12" s="323">
        <v>46000000</v>
      </c>
      <c r="D12" s="18"/>
    </row>
    <row r="13" spans="2:5" s="41" customFormat="1">
      <c r="B13" s="324" t="s">
        <v>320</v>
      </c>
      <c r="C13" s="325">
        <v>1000000</v>
      </c>
      <c r="D13" s="18"/>
    </row>
    <row r="14" spans="2:5" s="41" customFormat="1">
      <c r="B14" s="324" t="s">
        <v>321</v>
      </c>
      <c r="C14" s="325">
        <f>+C12-C13</f>
        <v>45000000</v>
      </c>
      <c r="D14" s="18"/>
    </row>
    <row r="15" spans="2:5" s="41" customFormat="1" ht="15.75" thickBot="1">
      <c r="B15" s="326" t="s">
        <v>322</v>
      </c>
      <c r="C15" s="327">
        <v>0.04</v>
      </c>
      <c r="D15" s="18"/>
    </row>
    <row r="16" spans="2:5" s="41" customFormat="1" ht="15.75" thickBot="1">
      <c r="B16" s="329" t="s">
        <v>37</v>
      </c>
      <c r="C16" s="330">
        <f>+C14*C15</f>
        <v>1800000</v>
      </c>
      <c r="D16" s="18"/>
    </row>
    <row r="17" spans="2:4" s="41" customFormat="1">
      <c r="B17" s="221"/>
      <c r="C17" s="312"/>
      <c r="D17" s="18"/>
    </row>
  </sheetData>
  <mergeCells count="1">
    <mergeCell ref="B9:C9"/>
  </mergeCells>
  <pageMargins left="0.7" right="0.7" top="0.75" bottom="0.75" header="0.3" footer="0.3"/>
  <pageSetup scale="70" orientation="portrait" verticalDpi="597"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G28"/>
  <sheetViews>
    <sheetView showGridLines="0" topLeftCell="A2" zoomScaleNormal="100" workbookViewId="0">
      <selection activeCell="F25" sqref="F25"/>
    </sheetView>
  </sheetViews>
  <sheetFormatPr baseColWidth="10" defaultRowHeight="15"/>
  <cols>
    <col min="1" max="1" width="4.7109375" customWidth="1"/>
    <col min="2" max="2" width="46.7109375" customWidth="1"/>
    <col min="3" max="9" width="16.7109375" customWidth="1"/>
    <col min="10" max="12" width="16.85546875" customWidth="1"/>
    <col min="13" max="13" width="14.7109375" customWidth="1"/>
  </cols>
  <sheetData>
    <row r="1" spans="2:7" s="41" customFormat="1">
      <c r="B1" s="201" t="s">
        <v>171</v>
      </c>
    </row>
    <row r="2" spans="2:7" s="41" customFormat="1">
      <c r="B2" s="201" t="s">
        <v>150</v>
      </c>
    </row>
    <row r="3" spans="2:7" s="41" customFormat="1" ht="15.75">
      <c r="B3" s="366" t="s">
        <v>552</v>
      </c>
      <c r="E3" s="227"/>
    </row>
    <row r="4" spans="2:7" s="41" customFormat="1" ht="15.75" thickBot="1"/>
    <row r="5" spans="2:7" ht="26.25" thickBot="1">
      <c r="B5" s="97" t="s">
        <v>16</v>
      </c>
      <c r="C5" s="98" t="s">
        <v>225</v>
      </c>
      <c r="D5" s="99" t="s">
        <v>377</v>
      </c>
      <c r="E5" s="719" t="s">
        <v>155</v>
      </c>
      <c r="F5" s="41"/>
      <c r="G5" s="41"/>
    </row>
    <row r="6" spans="2:7">
      <c r="B6" s="313" t="s">
        <v>36</v>
      </c>
      <c r="C6" s="384">
        <f>+C16</f>
        <v>20000000</v>
      </c>
      <c r="D6" s="315">
        <f>+C25</f>
        <v>4205683.7788410131</v>
      </c>
      <c r="E6" s="316">
        <f>+C6+D6</f>
        <v>24205683.778841011</v>
      </c>
      <c r="F6" s="41"/>
      <c r="G6" s="41"/>
    </row>
    <row r="7" spans="2:7" ht="15.75" thickBot="1">
      <c r="B7" s="76" t="s">
        <v>37</v>
      </c>
      <c r="C7" s="385">
        <f>+F16</f>
        <v>256000</v>
      </c>
      <c r="D7" s="318">
        <f>+F25</f>
        <v>33645.470230728104</v>
      </c>
      <c r="E7" s="319">
        <f>+C7+D7</f>
        <v>289645.4702307281</v>
      </c>
      <c r="F7" s="41"/>
      <c r="G7" s="41"/>
    </row>
    <row r="8" spans="2:7" s="41" customFormat="1" ht="3" customHeight="1">
      <c r="B8" s="312"/>
      <c r="C8" s="312"/>
      <c r="D8" s="312"/>
      <c r="E8" s="312"/>
      <c r="F8" s="312"/>
    </row>
    <row r="9" spans="2:7" s="41" customFormat="1" ht="42" customHeight="1">
      <c r="B9" s="944" t="s">
        <v>551</v>
      </c>
      <c r="C9" s="944"/>
      <c r="D9" s="944"/>
      <c r="E9" s="944"/>
      <c r="F9" s="944"/>
      <c r="G9" s="717"/>
    </row>
    <row r="10" spans="2:7" s="41" customFormat="1" ht="15.75" thickBot="1">
      <c r="B10" s="221"/>
      <c r="C10" s="312"/>
      <c r="D10" s="320"/>
      <c r="E10" s="320"/>
      <c r="F10" s="320"/>
      <c r="G10" s="18"/>
    </row>
    <row r="11" spans="2:7" ht="15.75" thickBot="1">
      <c r="B11" s="97" t="s">
        <v>553</v>
      </c>
      <c r="C11" s="321"/>
      <c r="D11" s="321"/>
      <c r="E11" s="321"/>
      <c r="F11" s="321"/>
    </row>
    <row r="12" spans="2:7" ht="15.75" thickBot="1">
      <c r="B12" s="97" t="s">
        <v>226</v>
      </c>
      <c r="C12" s="331" t="s">
        <v>318</v>
      </c>
      <c r="D12" s="332" t="s">
        <v>376</v>
      </c>
      <c r="E12" s="333" t="s">
        <v>114</v>
      </c>
      <c r="F12" s="331" t="s">
        <v>37</v>
      </c>
    </row>
    <row r="13" spans="2:7">
      <c r="B13" s="313" t="s">
        <v>227</v>
      </c>
      <c r="C13" s="334">
        <v>16000000</v>
      </c>
      <c r="D13" s="584" t="s">
        <v>356</v>
      </c>
      <c r="E13" s="523">
        <f>VLOOKUP(D13,'a) CBR Crédito RF'!$G$14:$I$32,3,FALSE)</f>
        <v>6.0000000000000001E-3</v>
      </c>
      <c r="F13" s="334">
        <f>+C13*E13</f>
        <v>96000</v>
      </c>
    </row>
    <row r="14" spans="2:7">
      <c r="B14" s="324" t="s">
        <v>228</v>
      </c>
      <c r="C14" s="335">
        <v>4000000</v>
      </c>
      <c r="D14" s="585" t="s">
        <v>359</v>
      </c>
      <c r="E14" s="524">
        <f>VLOOKUP(D14,'a) CBR Crédito RF'!$G$14:$I$32,3,FALSE)</f>
        <v>0.04</v>
      </c>
      <c r="F14" s="335">
        <f t="shared" ref="F14:F15" si="0">+C14*E14</f>
        <v>160000</v>
      </c>
    </row>
    <row r="15" spans="2:7" ht="15.75" thickBot="1">
      <c r="B15" s="76" t="s">
        <v>229</v>
      </c>
      <c r="C15" s="336"/>
      <c r="D15" s="337"/>
      <c r="E15" s="338"/>
      <c r="F15" s="339">
        <f t="shared" si="0"/>
        <v>0</v>
      </c>
    </row>
    <row r="16" spans="2:7" ht="15.75" thickBot="1">
      <c r="B16" s="329" t="s">
        <v>105</v>
      </c>
      <c r="C16" s="330">
        <f>SUM(C13:C15)</f>
        <v>20000000</v>
      </c>
      <c r="D16" s="321"/>
      <c r="E16" s="321"/>
      <c r="F16" s="330">
        <f>SUM(F13:F15)</f>
        <v>256000</v>
      </c>
    </row>
    <row r="17" spans="2:6" ht="3" customHeight="1">
      <c r="B17" s="321"/>
      <c r="C17" s="321"/>
      <c r="D17" s="321"/>
      <c r="E17" s="321"/>
      <c r="F17" s="321"/>
    </row>
    <row r="18" spans="2:6">
      <c r="B18" s="220" t="s">
        <v>317</v>
      </c>
      <c r="C18" s="321"/>
      <c r="D18" s="321"/>
      <c r="E18" s="321"/>
      <c r="F18" s="321"/>
    </row>
    <row r="19" spans="2:6">
      <c r="B19" s="220" t="s">
        <v>316</v>
      </c>
      <c r="C19" s="321"/>
      <c r="D19" s="321"/>
      <c r="E19" s="321"/>
      <c r="F19" s="321"/>
    </row>
    <row r="20" spans="2:6" ht="15.75" thickBot="1"/>
    <row r="21" spans="2:6" ht="15.75" thickBot="1">
      <c r="B21" s="97" t="s">
        <v>554</v>
      </c>
      <c r="C21" s="321"/>
      <c r="D21" s="321"/>
      <c r="E21" s="321"/>
      <c r="F21" s="321"/>
    </row>
    <row r="22" spans="2:6" ht="15.75" thickBot="1">
      <c r="B22" s="97" t="s">
        <v>226</v>
      </c>
      <c r="C22" s="331" t="s">
        <v>318</v>
      </c>
      <c r="D22" s="332" t="s">
        <v>376</v>
      </c>
      <c r="E22" s="333" t="s">
        <v>114</v>
      </c>
      <c r="F22" s="331" t="s">
        <v>37</v>
      </c>
    </row>
    <row r="23" spans="2:6">
      <c r="B23" s="313" t="s">
        <v>488</v>
      </c>
      <c r="C23" s="334">
        <f>+'Cap IV 2 CBR SIS'!C30</f>
        <v>4205683.7788410131</v>
      </c>
      <c r="D23" s="522" t="s">
        <v>31</v>
      </c>
      <c r="E23" s="523">
        <f>VLOOKUP(D23,'a) CBR Crédito RF'!$G$14:$I$32,3,FALSE)</f>
        <v>8.0000000000000002E-3</v>
      </c>
      <c r="F23" s="334">
        <f>+C23*E23</f>
        <v>33645.470230728104</v>
      </c>
    </row>
    <row r="24" spans="2:6" ht="15.75" thickBot="1">
      <c r="B24" s="76" t="s">
        <v>489</v>
      </c>
      <c r="C24" s="339">
        <f>+'Cap IV 2 CBR SIS'!C39</f>
        <v>0</v>
      </c>
      <c r="D24" s="541" t="s">
        <v>356</v>
      </c>
      <c r="E24" s="542">
        <f>VLOOKUP(D24,'a) CBR Crédito RF'!$G$14:$I$32,3,FALSE)</f>
        <v>6.0000000000000001E-3</v>
      </c>
      <c r="F24" s="339">
        <f>+C24*E24</f>
        <v>0</v>
      </c>
    </row>
    <row r="25" spans="2:6" ht="15.75" thickBot="1">
      <c r="B25" s="329" t="s">
        <v>105</v>
      </c>
      <c r="C25" s="382">
        <f>SUM(C23:C24)</f>
        <v>4205683.7788410131</v>
      </c>
      <c r="D25" s="321"/>
      <c r="E25" s="321"/>
      <c r="F25" s="382">
        <f>SUM(F23:F24)</f>
        <v>33645.470230728104</v>
      </c>
    </row>
    <row r="26" spans="2:6" ht="3" customHeight="1"/>
    <row r="27" spans="2:6" ht="28.5" customHeight="1">
      <c r="B27" s="945" t="s">
        <v>435</v>
      </c>
      <c r="C27" s="945"/>
      <c r="D27" s="945"/>
      <c r="E27" s="945"/>
      <c r="F27" s="945"/>
    </row>
    <row r="28" spans="2:6">
      <c r="B28" s="220" t="s">
        <v>316</v>
      </c>
    </row>
  </sheetData>
  <mergeCells count="2">
    <mergeCell ref="B27:F27"/>
    <mergeCell ref="B9:F9"/>
  </mergeCells>
  <pageMargins left="0.7" right="0.7" top="0.75" bottom="0.75" header="0.3" footer="0.3"/>
  <pageSetup scale="70" orientation="portrait" verticalDpi="597"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G21"/>
  <sheetViews>
    <sheetView showGridLines="0" zoomScaleNormal="100" workbookViewId="0">
      <selection activeCell="D20" sqref="D20"/>
    </sheetView>
  </sheetViews>
  <sheetFormatPr baseColWidth="10" defaultRowHeight="15"/>
  <cols>
    <col min="1" max="1" width="4.7109375" customWidth="1"/>
    <col min="2" max="2" width="40.7109375" customWidth="1"/>
    <col min="3" max="9" width="16.7109375" customWidth="1"/>
    <col min="10" max="12" width="16.85546875" customWidth="1"/>
    <col min="13" max="13" width="14.7109375" customWidth="1"/>
  </cols>
  <sheetData>
    <row r="1" spans="2:7" s="41" customFormat="1">
      <c r="B1" s="201" t="s">
        <v>171</v>
      </c>
    </row>
    <row r="2" spans="2:7" s="41" customFormat="1">
      <c r="B2" s="201" t="s">
        <v>150</v>
      </c>
    </row>
    <row r="3" spans="2:7" s="41" customFormat="1" ht="15.75">
      <c r="B3" s="366" t="s">
        <v>555</v>
      </c>
      <c r="E3" s="227"/>
    </row>
    <row r="4" spans="2:7" s="41" customFormat="1" ht="15.75" thickBot="1"/>
    <row r="5" spans="2:7" ht="15.75" thickBot="1">
      <c r="B5" s="97" t="s">
        <v>16</v>
      </c>
      <c r="C5" s="364" t="s">
        <v>155</v>
      </c>
      <c r="D5" s="41"/>
      <c r="E5" s="41"/>
      <c r="F5" s="41"/>
    </row>
    <row r="6" spans="2:7">
      <c r="B6" s="725" t="s">
        <v>556</v>
      </c>
      <c r="C6" s="372"/>
      <c r="D6" s="41"/>
      <c r="E6" s="41"/>
      <c r="F6" s="41"/>
    </row>
    <row r="7" spans="2:7">
      <c r="B7" s="726" t="s">
        <v>557</v>
      </c>
      <c r="C7" s="608">
        <f>+C18</f>
        <v>0</v>
      </c>
      <c r="D7" s="41"/>
      <c r="E7" s="41"/>
      <c r="F7" s="41"/>
    </row>
    <row r="8" spans="2:7">
      <c r="B8" s="726" t="s">
        <v>558</v>
      </c>
      <c r="C8" s="406">
        <f>+D18</f>
        <v>0</v>
      </c>
      <c r="D8" s="41"/>
      <c r="E8" s="41"/>
      <c r="F8" s="41"/>
    </row>
    <row r="9" spans="2:7">
      <c r="B9" s="726" t="s">
        <v>559</v>
      </c>
      <c r="C9" s="406"/>
      <c r="D9" s="41"/>
      <c r="E9" s="41"/>
      <c r="F9" s="41"/>
    </row>
    <row r="10" spans="2:7" ht="15.75" thickBot="1">
      <c r="B10" s="727" t="s">
        <v>37</v>
      </c>
      <c r="C10" s="373">
        <f>+G18</f>
        <v>0</v>
      </c>
      <c r="D10" s="41"/>
      <c r="E10" s="41"/>
      <c r="F10" s="41"/>
    </row>
    <row r="11" spans="2:7" s="41" customFormat="1" ht="3" customHeight="1">
      <c r="B11" s="312"/>
      <c r="C11" s="312"/>
      <c r="D11" s="312"/>
      <c r="E11" s="312"/>
      <c r="F11" s="312"/>
    </row>
    <row r="12" spans="2:7" ht="15.75" customHeight="1" thickBot="1"/>
    <row r="13" spans="2:7" ht="15.75" thickBot="1">
      <c r="B13" s="97" t="s">
        <v>560</v>
      </c>
      <c r="C13" s="321"/>
      <c r="D13" s="321"/>
      <c r="E13" s="321"/>
      <c r="F13" s="321"/>
    </row>
    <row r="14" spans="2:7" ht="51.75" thickBot="1">
      <c r="B14" s="97" t="s">
        <v>226</v>
      </c>
      <c r="C14" s="364" t="s">
        <v>561</v>
      </c>
      <c r="D14" s="718" t="s">
        <v>562</v>
      </c>
      <c r="E14" s="331" t="s">
        <v>563</v>
      </c>
      <c r="F14" s="728" t="s">
        <v>114</v>
      </c>
      <c r="G14" s="331" t="s">
        <v>564</v>
      </c>
    </row>
    <row r="15" spans="2:7">
      <c r="B15" s="313" t="s">
        <v>227</v>
      </c>
      <c r="C15" s="729"/>
      <c r="D15" s="730"/>
      <c r="E15" s="731"/>
      <c r="F15" s="732"/>
      <c r="G15" s="729">
        <f>+(C15+D15*0.5)*F15</f>
        <v>0</v>
      </c>
    </row>
    <row r="16" spans="2:7">
      <c r="B16" s="324" t="s">
        <v>228</v>
      </c>
      <c r="C16" s="733"/>
      <c r="D16" s="734"/>
      <c r="E16" s="735"/>
      <c r="F16" s="736"/>
      <c r="G16" s="733">
        <f t="shared" ref="G16:G17" si="0">+(C16+D16*0.5)*F16</f>
        <v>0</v>
      </c>
    </row>
    <row r="17" spans="2:7" ht="15.75" thickBot="1">
      <c r="B17" s="76" t="s">
        <v>229</v>
      </c>
      <c r="C17" s="737"/>
      <c r="D17" s="738"/>
      <c r="E17" s="739"/>
      <c r="F17" s="740"/>
      <c r="G17" s="737">
        <f t="shared" si="0"/>
        <v>0</v>
      </c>
    </row>
    <row r="18" spans="2:7" ht="15.75" thickBot="1">
      <c r="B18" s="329" t="s">
        <v>105</v>
      </c>
      <c r="C18" s="741">
        <f>SUM(C15:C17)</f>
        <v>0</v>
      </c>
      <c r="D18" s="741">
        <f>SUM(D15:D17)</f>
        <v>0</v>
      </c>
      <c r="E18" s="321"/>
      <c r="F18" s="321"/>
      <c r="G18" s="741">
        <f>SUM(G15:G17)</f>
        <v>0</v>
      </c>
    </row>
    <row r="19" spans="2:7" ht="3" customHeight="1">
      <c r="B19" s="321"/>
      <c r="C19" s="321"/>
      <c r="D19" s="321"/>
      <c r="E19" s="321"/>
      <c r="F19" s="321"/>
    </row>
    <row r="20" spans="2:7">
      <c r="B20" s="220" t="s">
        <v>565</v>
      </c>
      <c r="C20" s="321"/>
      <c r="D20" s="321"/>
      <c r="E20" s="321"/>
      <c r="F20" s="321"/>
    </row>
    <row r="21" spans="2:7">
      <c r="B21" s="220" t="s">
        <v>566</v>
      </c>
    </row>
  </sheetData>
  <pageMargins left="0.7" right="0.7" top="0.75" bottom="0.75" header="0.3" footer="0.3"/>
  <pageSetup paperSize="9" scale="68" orientation="portrait" verticalDpi="597"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F12"/>
  <sheetViews>
    <sheetView showGridLines="0" zoomScaleNormal="100" workbookViewId="0">
      <selection activeCell="F9" sqref="F9"/>
    </sheetView>
  </sheetViews>
  <sheetFormatPr baseColWidth="10" defaultRowHeight="15"/>
  <cols>
    <col min="1" max="1" width="4.7109375" customWidth="1"/>
    <col min="2" max="2" width="40.7109375" customWidth="1"/>
    <col min="3" max="6" width="15.7109375" customWidth="1"/>
    <col min="7" max="9" width="16.7109375" customWidth="1"/>
    <col min="10" max="12" width="16.85546875" customWidth="1"/>
    <col min="13" max="13" width="14.7109375" customWidth="1"/>
  </cols>
  <sheetData>
    <row r="1" spans="2:6" s="41" customFormat="1">
      <c r="B1" s="201" t="s">
        <v>171</v>
      </c>
    </row>
    <row r="2" spans="2:6" s="41" customFormat="1">
      <c r="B2" s="201" t="s">
        <v>150</v>
      </c>
    </row>
    <row r="3" spans="2:6" s="41" customFormat="1" ht="15.75">
      <c r="B3" s="366" t="s">
        <v>567</v>
      </c>
      <c r="E3" s="227"/>
    </row>
    <row r="4" spans="2:6" s="41" customFormat="1" ht="15.75" thickBot="1"/>
    <row r="5" spans="2:6" ht="15.75" thickBot="1">
      <c r="B5" s="97" t="s">
        <v>568</v>
      </c>
      <c r="C5" s="331" t="s">
        <v>318</v>
      </c>
      <c r="D5" s="332" t="s">
        <v>376</v>
      </c>
      <c r="E5" s="333" t="s">
        <v>114</v>
      </c>
      <c r="F5" s="331" t="s">
        <v>37</v>
      </c>
    </row>
    <row r="6" spans="2:6">
      <c r="B6" s="313" t="s">
        <v>569</v>
      </c>
      <c r="C6" s="334"/>
      <c r="D6" s="742"/>
      <c r="E6" s="523"/>
      <c r="F6" s="334">
        <f>+C6*E6</f>
        <v>0</v>
      </c>
    </row>
    <row r="7" spans="2:6">
      <c r="B7" s="324" t="s">
        <v>570</v>
      </c>
      <c r="C7" s="335"/>
      <c r="D7" s="743"/>
      <c r="E7" s="524"/>
      <c r="F7" s="335">
        <f t="shared" ref="F7:F8" si="0">+C7*E7</f>
        <v>0</v>
      </c>
    </row>
    <row r="8" spans="2:6" ht="15.75" thickBot="1">
      <c r="B8" s="76" t="s">
        <v>571</v>
      </c>
      <c r="C8" s="336"/>
      <c r="D8" s="337"/>
      <c r="E8" s="338"/>
      <c r="F8" s="339">
        <f t="shared" si="0"/>
        <v>0</v>
      </c>
    </row>
    <row r="9" spans="2:6" ht="15.75" thickBot="1">
      <c r="B9" s="329" t="s">
        <v>105</v>
      </c>
      <c r="C9" s="330">
        <f>SUM(C6:C8)</f>
        <v>0</v>
      </c>
      <c r="D9" s="321"/>
      <c r="E9" s="321"/>
      <c r="F9" s="330">
        <f>SUM(F6:F8)</f>
        <v>0</v>
      </c>
    </row>
    <row r="10" spans="2:6" ht="3" customHeight="1">
      <c r="B10" s="321"/>
      <c r="C10" s="321"/>
      <c r="D10" s="321"/>
      <c r="E10" s="321"/>
      <c r="F10" s="321"/>
    </row>
    <row r="11" spans="2:6">
      <c r="B11" s="220" t="s">
        <v>572</v>
      </c>
      <c r="C11" s="321"/>
      <c r="D11" s="321"/>
      <c r="E11" s="321"/>
      <c r="F11" s="321"/>
    </row>
    <row r="12" spans="2:6" ht="63.95" customHeight="1">
      <c r="B12" s="938" t="s">
        <v>573</v>
      </c>
      <c r="C12" s="938"/>
      <c r="D12" s="938"/>
      <c r="E12" s="938"/>
      <c r="F12" s="938"/>
    </row>
  </sheetData>
  <mergeCells count="1">
    <mergeCell ref="B12:F12"/>
  </mergeCells>
  <pageMargins left="0.7" right="0.7" top="0.75" bottom="0.75" header="0.3" footer="0.3"/>
  <pageSetup paperSize="9" scale="80" orientation="portrait" verticalDpi="597"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B1:I17"/>
  <sheetViews>
    <sheetView showGridLines="0" zoomScaleNormal="100" workbookViewId="0">
      <selection activeCell="E15" sqref="E15"/>
    </sheetView>
  </sheetViews>
  <sheetFormatPr baseColWidth="10" defaultRowHeight="15"/>
  <cols>
    <col min="1" max="1" width="4.7109375" customWidth="1"/>
    <col min="2" max="2" width="41.7109375" customWidth="1"/>
    <col min="3" max="6" width="16.7109375" customWidth="1"/>
    <col min="7" max="9" width="16.85546875" customWidth="1"/>
    <col min="10" max="10" width="14.7109375" customWidth="1"/>
  </cols>
  <sheetData>
    <row r="1" spans="2:9" s="41" customFormat="1">
      <c r="B1" s="201" t="s">
        <v>171</v>
      </c>
    </row>
    <row r="2" spans="2:9" s="41" customFormat="1">
      <c r="B2" s="201" t="s">
        <v>150</v>
      </c>
    </row>
    <row r="3" spans="2:9" s="41" customFormat="1" ht="15.75">
      <c r="B3" s="366" t="s">
        <v>574</v>
      </c>
    </row>
    <row r="4" spans="2:9" s="41" customFormat="1" ht="15.75" thickBot="1"/>
    <row r="5" spans="2:9" ht="39" thickBot="1">
      <c r="B5" s="97" t="s">
        <v>16</v>
      </c>
      <c r="C5" s="236" t="s">
        <v>575</v>
      </c>
      <c r="D5" s="98" t="s">
        <v>576</v>
      </c>
      <c r="E5" s="99" t="s">
        <v>577</v>
      </c>
      <c r="F5" s="364" t="s">
        <v>578</v>
      </c>
    </row>
    <row r="6" spans="2:9">
      <c r="B6" s="744" t="s">
        <v>36</v>
      </c>
      <c r="C6" s="745">
        <v>0</v>
      </c>
      <c r="D6" s="746">
        <v>10000000</v>
      </c>
      <c r="E6" s="747">
        <v>0</v>
      </c>
      <c r="F6" s="536">
        <f>SUM(C6:E6)</f>
        <v>10000000</v>
      </c>
    </row>
    <row r="7" spans="2:9">
      <c r="B7" s="748" t="s">
        <v>322</v>
      </c>
      <c r="C7" s="749">
        <v>0.12</v>
      </c>
      <c r="D7" s="750">
        <v>0.12</v>
      </c>
      <c r="E7" s="751">
        <v>0.12</v>
      </c>
      <c r="F7" s="752"/>
    </row>
    <row r="8" spans="2:9" ht="15.75" thickBot="1">
      <c r="B8" s="753" t="s">
        <v>37</v>
      </c>
      <c r="C8" s="754">
        <f>+C6*C7</f>
        <v>0</v>
      </c>
      <c r="D8" s="755">
        <f t="shared" ref="D8:E8" si="0">+D6*D7</f>
        <v>1200000</v>
      </c>
      <c r="E8" s="756">
        <f t="shared" si="0"/>
        <v>0</v>
      </c>
      <c r="F8" s="534">
        <f>SUM(C8:E8)</f>
        <v>1200000</v>
      </c>
    </row>
    <row r="9" spans="2:9" s="41" customFormat="1" ht="3" customHeight="1">
      <c r="B9" s="312"/>
      <c r="C9" s="312"/>
    </row>
    <row r="10" spans="2:9" s="41" customFormat="1" ht="42" customHeight="1">
      <c r="B10" s="924" t="s">
        <v>579</v>
      </c>
      <c r="C10" s="924"/>
      <c r="D10" s="924"/>
      <c r="E10" s="924"/>
      <c r="F10" s="924"/>
    </row>
    <row r="11" spans="2:9" ht="30" customHeight="1">
      <c r="B11" s="938" t="s">
        <v>580</v>
      </c>
      <c r="C11" s="938"/>
      <c r="D11" s="938"/>
      <c r="E11" s="938"/>
      <c r="F11" s="938"/>
      <c r="G11" s="667"/>
      <c r="H11" s="667"/>
      <c r="I11" s="667"/>
    </row>
    <row r="12" spans="2:9" ht="15.75" thickBot="1">
      <c r="B12" s="720"/>
      <c r="C12" s="720"/>
      <c r="D12" s="720"/>
      <c r="E12" s="720"/>
      <c r="F12" s="720"/>
      <c r="G12" s="720"/>
      <c r="H12" s="720"/>
      <c r="I12" s="720"/>
    </row>
    <row r="13" spans="2:9" ht="15.75" thickBot="1">
      <c r="B13" s="321"/>
      <c r="C13" s="987" t="s">
        <v>581</v>
      </c>
    </row>
    <row r="14" spans="2:9">
      <c r="B14" s="313" t="s">
        <v>531</v>
      </c>
      <c r="C14" s="313"/>
    </row>
    <row r="15" spans="2:9">
      <c r="B15" s="324" t="s">
        <v>532</v>
      </c>
      <c r="C15" s="324"/>
    </row>
    <row r="16" spans="2:9" ht="15.75" thickBot="1">
      <c r="B16" s="988" t="s">
        <v>533</v>
      </c>
      <c r="C16" s="988"/>
    </row>
    <row r="17" spans="2:3" ht="15.75" thickBot="1">
      <c r="B17" s="989" t="s">
        <v>613</v>
      </c>
      <c r="C17" s="990">
        <f>SUM(C14:C16)</f>
        <v>0</v>
      </c>
    </row>
  </sheetData>
  <mergeCells count="2">
    <mergeCell ref="B10:F10"/>
    <mergeCell ref="B11:F11"/>
  </mergeCells>
  <pageMargins left="0.7" right="0.7" top="0.75" bottom="0.75" header="0.3" footer="0.3"/>
  <pageSetup paperSize="9" scale="77" orientation="portrait" verticalDpi="597"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Q8"/>
  <sheetViews>
    <sheetView showGridLines="0" zoomScaleNormal="100" workbookViewId="0">
      <selection activeCell="M6" sqref="M6"/>
    </sheetView>
  </sheetViews>
  <sheetFormatPr baseColWidth="10" defaultRowHeight="15"/>
  <cols>
    <col min="1" max="1" width="4.7109375" customWidth="1"/>
    <col min="2" max="2" width="24.7109375" customWidth="1"/>
    <col min="3" max="13" width="14.7109375" customWidth="1"/>
    <col min="14" max="16" width="16.85546875" customWidth="1"/>
    <col min="17" max="17" width="14.7109375" customWidth="1"/>
  </cols>
  <sheetData>
    <row r="1" spans="2:17" s="41" customFormat="1">
      <c r="B1" s="201" t="s">
        <v>230</v>
      </c>
      <c r="C1" s="211"/>
      <c r="D1" s="211"/>
      <c r="E1" s="211"/>
      <c r="F1" s="211"/>
      <c r="G1" s="211"/>
      <c r="H1" s="211"/>
      <c r="I1" s="211"/>
      <c r="J1" s="211"/>
      <c r="K1" s="211"/>
      <c r="L1" s="211"/>
      <c r="M1" s="211"/>
    </row>
    <row r="2" spans="2:17" s="41" customFormat="1" ht="15.75">
      <c r="B2" s="366" t="s">
        <v>323</v>
      </c>
      <c r="C2" s="211"/>
      <c r="D2" s="211"/>
      <c r="E2" s="211"/>
      <c r="F2" s="211"/>
      <c r="G2" s="211"/>
      <c r="H2" s="211"/>
      <c r="I2" s="211"/>
      <c r="J2" s="211"/>
      <c r="K2" s="211"/>
      <c r="L2" s="211"/>
      <c r="M2" s="211"/>
    </row>
    <row r="3" spans="2:17" s="41" customFormat="1" ht="15.75" thickBot="1">
      <c r="B3" s="201"/>
      <c r="C3" s="212"/>
      <c r="D3" s="212"/>
      <c r="E3" s="212"/>
      <c r="F3" s="212"/>
      <c r="G3" s="212"/>
      <c r="H3" s="212"/>
      <c r="I3" s="212"/>
      <c r="J3" s="212"/>
      <c r="K3" s="212"/>
      <c r="L3" s="212"/>
      <c r="M3" s="212"/>
      <c r="N3" s="217"/>
      <c r="O3" s="217"/>
      <c r="P3" s="217"/>
      <c r="Q3" s="217"/>
    </row>
    <row r="4" spans="2:17" s="41" customFormat="1" ht="15.75" thickBot="1">
      <c r="B4" s="340"/>
      <c r="C4" s="341" t="s">
        <v>313</v>
      </c>
      <c r="D4" s="342"/>
      <c r="E4" s="342"/>
      <c r="F4" s="342"/>
      <c r="G4" s="342"/>
      <c r="H4" s="342"/>
      <c r="I4" s="342"/>
      <c r="J4" s="342"/>
      <c r="K4" s="664"/>
      <c r="L4" s="664"/>
      <c r="M4" s="344"/>
      <c r="N4" s="217"/>
      <c r="O4" s="217"/>
      <c r="P4" s="217"/>
      <c r="Q4" s="217"/>
    </row>
    <row r="5" spans="2:17" ht="51" customHeight="1" thickBot="1">
      <c r="B5" s="97" t="s">
        <v>26</v>
      </c>
      <c r="C5" s="236" t="s">
        <v>379</v>
      </c>
      <c r="D5" s="98" t="s">
        <v>502</v>
      </c>
      <c r="E5" s="98" t="s">
        <v>478</v>
      </c>
      <c r="F5" s="98" t="s">
        <v>479</v>
      </c>
      <c r="G5" s="98" t="s">
        <v>480</v>
      </c>
      <c r="H5" s="98" t="s">
        <v>481</v>
      </c>
      <c r="I5" s="587" t="s">
        <v>494</v>
      </c>
      <c r="J5" s="587" t="s">
        <v>482</v>
      </c>
      <c r="K5" s="587" t="s">
        <v>483</v>
      </c>
      <c r="L5" s="99" t="s">
        <v>515</v>
      </c>
      <c r="M5" s="100" t="s">
        <v>231</v>
      </c>
      <c r="N5" s="2"/>
      <c r="O5" s="2"/>
      <c r="P5" s="2"/>
      <c r="Q5" s="2"/>
    </row>
    <row r="6" spans="2:17" ht="15.75" thickBot="1">
      <c r="B6" s="76" t="s">
        <v>5</v>
      </c>
      <c r="C6" s="350">
        <f>-'Cap IV 1 RRVV (TSA)'!E27*uf/1000</f>
        <v>41675477.078954846</v>
      </c>
      <c r="D6" s="317">
        <f>+'Cap IV 2 CBR SIS'!C48</f>
        <v>5504511.996955039</v>
      </c>
      <c r="E6" s="317">
        <f>+'Cap IV 4.2 CBR RT Vida Tradic'!C5</f>
        <v>2500000</v>
      </c>
      <c r="F6" s="317">
        <f>+'Cap IV 4.2 CBR RT Vida Tradic'!D5+'Cap IV 4.2 CBR RT Vida Tradic'!D16</f>
        <v>500000</v>
      </c>
      <c r="G6" s="317">
        <f>+'Cap IV 4.2 CBR RT Vida Tradic'!C10</f>
        <v>1889625</v>
      </c>
      <c r="H6" s="317">
        <f>+'Cap IV 4.2 CBR RT Vida Tradic'!D10</f>
        <v>0</v>
      </c>
      <c r="I6" s="317">
        <f>'Cap IV 4.2 CBR RT Vida Tradic'!$C$16</f>
        <v>1288312.8550127605</v>
      </c>
      <c r="J6" s="317">
        <f>+'Cap IV 3 Seguros con CUI'!C44+'Cap IV 3 Seguros con CUI'!D49</f>
        <v>600000</v>
      </c>
      <c r="K6" s="317">
        <f>+'Cap IV 3 Seguros con CUI'!D44+'Cap IV 3 Seguros con CUI'!E49</f>
        <v>0</v>
      </c>
      <c r="L6" s="351">
        <f>+'Cap IV 4.2 CBR RT Vida Tradic'!G25</f>
        <v>500000</v>
      </c>
      <c r="M6" s="195">
        <f>SUM(C6:L6)</f>
        <v>54457926.930922642</v>
      </c>
      <c r="N6" s="2"/>
      <c r="O6" s="2"/>
      <c r="P6" s="2"/>
      <c r="Q6" s="2"/>
    </row>
    <row r="7" spans="2:17" ht="15.75">
      <c r="B7" s="1"/>
      <c r="C7" s="2"/>
      <c r="D7" s="2"/>
      <c r="E7" s="2"/>
      <c r="F7" s="2"/>
      <c r="G7" s="2"/>
      <c r="H7" s="2"/>
      <c r="I7" s="2"/>
      <c r="J7" s="2"/>
      <c r="K7" s="2"/>
      <c r="L7" s="2"/>
      <c r="M7" s="2"/>
      <c r="N7" s="2"/>
      <c r="O7" s="2"/>
      <c r="P7" s="2"/>
      <c r="Q7" s="2"/>
    </row>
    <row r="8" spans="2:17" ht="15.75">
      <c r="B8" s="1"/>
      <c r="C8" s="261"/>
      <c r="D8" s="2"/>
      <c r="E8" s="2"/>
      <c r="F8" s="2"/>
      <c r="G8" s="2"/>
      <c r="H8" s="2"/>
      <c r="I8" s="2"/>
      <c r="J8" s="2"/>
      <c r="K8" s="2"/>
      <c r="L8" s="2"/>
      <c r="M8" s="2"/>
      <c r="N8" s="2"/>
      <c r="O8" s="2"/>
      <c r="P8" s="2"/>
      <c r="Q8" s="2"/>
    </row>
  </sheetData>
  <printOptions horizontalCentered="1"/>
  <pageMargins left="0.70866141732283472" right="0.70866141732283472" top="0.74803149606299213" bottom="0.74803149606299213" header="0.31496062992125984" footer="0.31496062992125984"/>
  <pageSetup orientation="landscape" verticalDpi="597"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E29"/>
  <sheetViews>
    <sheetView showGridLines="0" zoomScaleNormal="100" workbookViewId="0">
      <selection activeCell="C5" sqref="C5"/>
    </sheetView>
  </sheetViews>
  <sheetFormatPr baseColWidth="10" defaultRowHeight="15"/>
  <cols>
    <col min="1" max="1" width="10.7109375" customWidth="1"/>
    <col min="2" max="5" width="16.7109375" customWidth="1"/>
  </cols>
  <sheetData>
    <row r="1" spans="2:5" s="41" customFormat="1"/>
    <row r="2" spans="2:5" s="41" customFormat="1" ht="15.75" thickBot="1"/>
    <row r="3" spans="2:5" s="41" customFormat="1" ht="15.75" thickBot="1">
      <c r="B3" s="951" t="s">
        <v>661</v>
      </c>
      <c r="C3" s="952"/>
      <c r="D3" s="952"/>
      <c r="E3" s="953"/>
    </row>
    <row r="4" spans="2:5" ht="30.75" thickBot="1">
      <c r="B4" s="771" t="s">
        <v>662</v>
      </c>
      <c r="C4" s="771" t="s">
        <v>663</v>
      </c>
      <c r="D4" s="771" t="s">
        <v>664</v>
      </c>
      <c r="E4" s="771" t="s">
        <v>665</v>
      </c>
    </row>
    <row r="5" spans="2:5">
      <c r="B5" s="757">
        <v>1</v>
      </c>
      <c r="C5" s="758">
        <v>1.5307156314605219E-2</v>
      </c>
      <c r="D5" s="759">
        <v>-5.2175351833688746</v>
      </c>
      <c r="E5" s="758">
        <v>-6.4558470314174554E-2</v>
      </c>
    </row>
    <row r="6" spans="2:5">
      <c r="B6" s="760">
        <f>B5+1</f>
        <v>2</v>
      </c>
      <c r="C6" s="761">
        <v>1.7249721381178196E-2</v>
      </c>
      <c r="D6" s="762">
        <v>-1.1676418206916983</v>
      </c>
      <c r="E6" s="761">
        <v>-2.8917746987652294E-3</v>
      </c>
    </row>
    <row r="7" spans="2:5">
      <c r="B7" s="760">
        <f t="shared" ref="B7:B29" si="0">B6+1</f>
        <v>3</v>
      </c>
      <c r="C7" s="761">
        <v>1.8676427428250264E-2</v>
      </c>
      <c r="D7" s="762">
        <v>-0.73225999248075835</v>
      </c>
      <c r="E7" s="761">
        <v>5.0004268200722971E-3</v>
      </c>
    </row>
    <row r="8" spans="2:5">
      <c r="B8" s="760">
        <f t="shared" si="0"/>
        <v>4</v>
      </c>
      <c r="C8" s="761">
        <v>2.0078648285887457E-2</v>
      </c>
      <c r="D8" s="762">
        <v>-0.55368951768788011</v>
      </c>
      <c r="E8" s="761">
        <v>8.9613112006498505E-3</v>
      </c>
    </row>
    <row r="9" spans="2:5">
      <c r="B9" s="760">
        <f t="shared" si="0"/>
        <v>5</v>
      </c>
      <c r="C9" s="761">
        <v>2.1306074172218858E-2</v>
      </c>
      <c r="D9" s="762">
        <v>-0.46313629790589311</v>
      </c>
      <c r="E9" s="761">
        <v>1.1438457857189051E-2</v>
      </c>
    </row>
    <row r="10" spans="2:5">
      <c r="B10" s="760">
        <f t="shared" si="0"/>
        <v>6</v>
      </c>
      <c r="C10" s="761">
        <v>2.2340455795952341E-2</v>
      </c>
      <c r="D10" s="762">
        <v>-0.41356307527151981</v>
      </c>
      <c r="E10" s="761">
        <v>1.3101268194010841E-2</v>
      </c>
    </row>
    <row r="11" spans="2:5">
      <c r="B11" s="760">
        <f t="shared" si="0"/>
        <v>7</v>
      </c>
      <c r="C11" s="761">
        <v>2.3206538848743907E-2</v>
      </c>
      <c r="D11" s="762">
        <v>-0.38479570980095013</v>
      </c>
      <c r="E11" s="761">
        <v>1.4276762260418172E-2</v>
      </c>
    </row>
    <row r="12" spans="2:5">
      <c r="B12" s="760">
        <f t="shared" si="0"/>
        <v>8</v>
      </c>
      <c r="C12" s="761">
        <v>2.3934535530109713E-2</v>
      </c>
      <c r="D12" s="762">
        <v>-0.3671606515501864</v>
      </c>
      <c r="E12" s="761">
        <v>1.5146715870323544E-2</v>
      </c>
    </row>
    <row r="13" spans="2:5">
      <c r="B13" s="760">
        <f t="shared" si="0"/>
        <v>9</v>
      </c>
      <c r="C13" s="761">
        <v>2.4556065559320883E-2</v>
      </c>
      <c r="D13" s="762">
        <v>-0.35556536119401683</v>
      </c>
      <c r="E13" s="761">
        <v>1.5824779239216998E-2</v>
      </c>
    </row>
    <row r="14" spans="2:5">
      <c r="B14" s="760">
        <f t="shared" si="0"/>
        <v>10</v>
      </c>
      <c r="C14" s="761">
        <v>2.5083489665823411E-2</v>
      </c>
      <c r="D14" s="762">
        <v>-0.34758664304127085</v>
      </c>
      <c r="E14" s="761">
        <v>1.6364803697119443E-2</v>
      </c>
    </row>
    <row r="15" spans="2:5">
      <c r="B15" s="760">
        <f t="shared" si="0"/>
        <v>11</v>
      </c>
      <c r="C15" s="761">
        <v>2.5535456981528926E-2</v>
      </c>
      <c r="D15" s="762">
        <v>-0.3420142975105811</v>
      </c>
      <c r="E15" s="761">
        <v>1.6801965600379647E-2</v>
      </c>
    </row>
    <row r="16" spans="2:5">
      <c r="B16" s="760">
        <f t="shared" si="0"/>
        <v>12</v>
      </c>
      <c r="C16" s="761">
        <v>2.5928284234737031E-2</v>
      </c>
      <c r="D16" s="762">
        <v>-0.33804890274610244</v>
      </c>
      <c r="E16" s="761">
        <v>1.716325619909511E-2</v>
      </c>
    </row>
    <row r="17" spans="2:5">
      <c r="B17" s="760">
        <f t="shared" si="0"/>
        <v>13</v>
      </c>
      <c r="C17" s="761">
        <v>2.6279885496827138E-2</v>
      </c>
      <c r="D17" s="762">
        <v>-0.33513366997658345</v>
      </c>
      <c r="E17" s="761">
        <v>1.747261102371107E-2</v>
      </c>
    </row>
    <row r="18" spans="2:5">
      <c r="B18" s="760">
        <f t="shared" si="0"/>
        <v>14</v>
      </c>
      <c r="C18" s="761">
        <v>2.6589840733209025E-2</v>
      </c>
      <c r="D18" s="762">
        <v>-0.33295015699764918</v>
      </c>
      <c r="E18" s="761">
        <v>1.7736749086544594E-2</v>
      </c>
    </row>
    <row r="19" spans="2:5">
      <c r="B19" s="760">
        <f t="shared" si="0"/>
        <v>15</v>
      </c>
      <c r="C19" s="761">
        <v>2.6868622537070896E-2</v>
      </c>
      <c r="D19" s="762">
        <v>-0.33140483434449702</v>
      </c>
      <c r="E19" s="761">
        <v>1.7964231136108094E-2</v>
      </c>
    </row>
    <row r="20" spans="2:5">
      <c r="B20" s="760">
        <f t="shared" si="0"/>
        <v>16</v>
      </c>
      <c r="C20" s="761">
        <v>2.7122341603937228E-2</v>
      </c>
      <c r="D20" s="762">
        <v>-0.33035320354683712</v>
      </c>
      <c r="E20" s="761">
        <v>1.8162389167384906E-2</v>
      </c>
    </row>
    <row r="21" spans="2:5">
      <c r="B21" s="760">
        <f t="shared" si="0"/>
        <v>17</v>
      </c>
      <c r="C21" s="761">
        <v>2.7358031493791568E-2</v>
      </c>
      <c r="D21" s="762">
        <v>-0.32961731072250194</v>
      </c>
      <c r="E21" s="761">
        <v>1.8340350726146478E-2</v>
      </c>
    </row>
    <row r="22" spans="2:5">
      <c r="B22" s="760">
        <f t="shared" si="0"/>
        <v>18</v>
      </c>
      <c r="C22" s="761">
        <v>2.757371723630242E-2</v>
      </c>
      <c r="D22" s="762">
        <v>-0.3291379772224558</v>
      </c>
      <c r="E22" s="761">
        <v>1.8498159720641876E-2</v>
      </c>
    </row>
    <row r="23" spans="2:5">
      <c r="B23" s="760">
        <f>B22+1</f>
        <v>19</v>
      </c>
      <c r="C23" s="761">
        <v>2.7775489333023096E-2</v>
      </c>
      <c r="D23" s="762">
        <v>-0.32896064718351403</v>
      </c>
      <c r="E23" s="761">
        <v>1.8638446386193028E-2</v>
      </c>
    </row>
    <row r="24" spans="2:5">
      <c r="B24" s="760">
        <f t="shared" si="0"/>
        <v>20</v>
      </c>
      <c r="C24" s="761">
        <v>2.7963390191292126E-2</v>
      </c>
      <c r="D24" s="762">
        <v>-0.32907551262983853</v>
      </c>
      <c r="E24" s="761">
        <v>1.8761323229224469E-2</v>
      </c>
    </row>
    <row r="25" spans="2:5">
      <c r="B25" s="760">
        <f t="shared" si="0"/>
        <v>21</v>
      </c>
      <c r="C25" s="761">
        <v>2.8140854805520199E-2</v>
      </c>
      <c r="D25" s="762">
        <v>-0.32942886962111684</v>
      </c>
      <c r="E25" s="761">
        <v>1.8870444816765707E-2</v>
      </c>
    </row>
    <row r="26" spans="2:5">
      <c r="B26" s="760">
        <f t="shared" si="0"/>
        <v>22</v>
      </c>
      <c r="C26" s="761">
        <v>2.8308804020769518E-2</v>
      </c>
      <c r="D26" s="762">
        <v>-0.33005914905675909</v>
      </c>
      <c r="E26" s="761">
        <v>1.8965224254859771E-2</v>
      </c>
    </row>
    <row r="27" spans="2:5">
      <c r="B27" s="760">
        <f>B26+1</f>
        <v>23</v>
      </c>
      <c r="C27" s="761">
        <v>2.846780932640991E-2</v>
      </c>
      <c r="D27" s="762">
        <v>-0.33110005147982835</v>
      </c>
      <c r="E27" s="761">
        <v>1.9042116192917652E-2</v>
      </c>
    </row>
    <row r="28" spans="2:5">
      <c r="B28" s="760">
        <f t="shared" si="0"/>
        <v>24</v>
      </c>
      <c r="C28" s="761">
        <v>2.8618739063180465E-2</v>
      </c>
      <c r="D28" s="762">
        <v>-0.33259611553895568</v>
      </c>
      <c r="E28" s="761">
        <v>1.9100257619143673E-2</v>
      </c>
    </row>
    <row r="29" spans="2:5" ht="15.75" thickBot="1">
      <c r="B29" s="763">
        <f t="shared" si="0"/>
        <v>25</v>
      </c>
      <c r="C29" s="764">
        <v>2.8763622725133331E-2</v>
      </c>
      <c r="D29" s="765">
        <v>-0.33381804305277507</v>
      </c>
      <c r="E29" s="764">
        <v>1.9161806475920994E-2</v>
      </c>
    </row>
  </sheetData>
  <mergeCells count="1">
    <mergeCell ref="B3:E3"/>
  </mergeCells>
  <pageMargins left="0.39370078740157483" right="0.39370078740157483" top="0.74803149606299213" bottom="0.74803149606299213" header="0.31496062992125984" footer="0.31496062992125984"/>
  <pageSetup scale="83" orientation="portrait" verticalDpi="597"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B1:F30"/>
  <sheetViews>
    <sheetView showGridLines="0" zoomScale="110" zoomScaleNormal="110" workbookViewId="0">
      <selection activeCell="B1" sqref="B1"/>
    </sheetView>
  </sheetViews>
  <sheetFormatPr baseColWidth="10" defaultRowHeight="15"/>
  <cols>
    <col min="1" max="1" width="2.7109375" customWidth="1"/>
    <col min="2" max="2" width="81.42578125" bestFit="1" customWidth="1"/>
    <col min="3" max="3" width="16.7109375" customWidth="1"/>
    <col min="4" max="4" width="6.7109375" customWidth="1"/>
    <col min="5" max="6" width="16.7109375" style="41" customWidth="1"/>
  </cols>
  <sheetData>
    <row r="1" spans="2:6" s="41" customFormat="1">
      <c r="B1" s="201" t="s">
        <v>230</v>
      </c>
      <c r="C1" s="212"/>
      <c r="D1" s="212"/>
      <c r="E1" s="212"/>
      <c r="F1" s="212"/>
    </row>
    <row r="2" spans="2:6" s="41" customFormat="1">
      <c r="B2" s="201" t="s">
        <v>232</v>
      </c>
      <c r="C2" s="539"/>
      <c r="D2" s="539"/>
      <c r="E2" s="539"/>
      <c r="F2" s="539"/>
    </row>
    <row r="3" spans="2:6" s="41" customFormat="1" ht="15.75" thickBot="1">
      <c r="B3" s="212"/>
      <c r="C3" s="212"/>
      <c r="D3" s="212"/>
      <c r="E3" s="212"/>
      <c r="F3" s="212"/>
    </row>
    <row r="4" spans="2:6" s="41" customFormat="1" ht="15.75" thickBot="1">
      <c r="B4" s="212"/>
      <c r="C4" s="42" t="s">
        <v>233</v>
      </c>
      <c r="D4" s="560"/>
      <c r="E4"/>
      <c r="F4"/>
    </row>
    <row r="5" spans="2:6">
      <c r="B5" s="777" t="s">
        <v>540</v>
      </c>
      <c r="C5" s="886">
        <v>3000000</v>
      </c>
      <c r="D5" s="651"/>
      <c r="E5"/>
      <c r="F5"/>
    </row>
    <row r="6" spans="2:6">
      <c r="B6" s="894" t="s">
        <v>658</v>
      </c>
      <c r="C6" s="887">
        <v>1824000</v>
      </c>
      <c r="D6" s="651"/>
      <c r="E6"/>
      <c r="F6"/>
    </row>
    <row r="7" spans="2:6" ht="15.75" thickBot="1">
      <c r="B7" s="895" t="s">
        <v>660</v>
      </c>
      <c r="C7" s="888">
        <v>1695000</v>
      </c>
      <c r="D7" s="651"/>
      <c r="E7"/>
      <c r="F7"/>
    </row>
    <row r="8" spans="2:6" ht="26.25" thickBot="1">
      <c r="B8" s="896" t="s">
        <v>659</v>
      </c>
      <c r="C8" s="889">
        <v>735000</v>
      </c>
      <c r="D8" s="651"/>
      <c r="E8"/>
      <c r="F8"/>
    </row>
    <row r="9" spans="2:6">
      <c r="B9" s="897" t="s">
        <v>651</v>
      </c>
      <c r="C9" s="890">
        <v>-1000000</v>
      </c>
      <c r="D9" s="651"/>
      <c r="E9"/>
      <c r="F9"/>
    </row>
    <row r="10" spans="2:6" ht="25.5">
      <c r="B10" s="869" t="s">
        <v>652</v>
      </c>
      <c r="C10" s="891">
        <v>260000</v>
      </c>
      <c r="D10" s="651"/>
      <c r="E10"/>
      <c r="F10"/>
    </row>
    <row r="11" spans="2:6" ht="25.5">
      <c r="B11" s="869" t="s">
        <v>653</v>
      </c>
      <c r="C11" s="892">
        <v>-576000</v>
      </c>
      <c r="D11" s="652"/>
      <c r="E11"/>
      <c r="F11"/>
    </row>
    <row r="12" spans="2:6" s="41" customFormat="1" ht="15.75" thickBot="1">
      <c r="B12" s="779" t="s">
        <v>541</v>
      </c>
      <c r="C12" s="893">
        <v>-3300000</v>
      </c>
      <c r="D12" s="539"/>
      <c r="E12"/>
      <c r="F12"/>
    </row>
    <row r="13" spans="2:6" s="41" customFormat="1" ht="15" customHeight="1">
      <c r="B13" s="212"/>
      <c r="C13" s="539"/>
      <c r="D13" s="589"/>
      <c r="E13"/>
      <c r="F13"/>
    </row>
    <row r="14" spans="2:6" s="41" customFormat="1">
      <c r="B14" s="954" t="s">
        <v>654</v>
      </c>
      <c r="C14" s="954"/>
      <c r="D14" s="689"/>
      <c r="E14"/>
      <c r="F14"/>
    </row>
    <row r="15" spans="2:6" s="41" customFormat="1" ht="30" customHeight="1">
      <c r="B15" s="956" t="s">
        <v>673</v>
      </c>
      <c r="C15" s="956"/>
      <c r="D15" s="589"/>
      <c r="E15"/>
      <c r="F15"/>
    </row>
    <row r="16" spans="2:6" s="41" customFormat="1" ht="42" customHeight="1">
      <c r="B16" s="956" t="s">
        <v>674</v>
      </c>
      <c r="C16" s="956"/>
      <c r="D16" s="588"/>
      <c r="E16"/>
      <c r="F16"/>
    </row>
    <row r="17" spans="2:6" s="41" customFormat="1" ht="39.950000000000003" customHeight="1">
      <c r="B17" s="954" t="s">
        <v>666</v>
      </c>
      <c r="C17" s="954"/>
      <c r="D17" s="588"/>
      <c r="E17"/>
      <c r="F17"/>
    </row>
    <row r="18" spans="2:6" s="41" customFormat="1" ht="39.950000000000003" customHeight="1">
      <c r="B18" s="955" t="s">
        <v>655</v>
      </c>
      <c r="C18" s="955"/>
      <c r="D18" s="588"/>
      <c r="E18"/>
      <c r="F18"/>
    </row>
    <row r="19" spans="2:6" s="41" customFormat="1" ht="39.950000000000003" customHeight="1">
      <c r="B19" s="955" t="s">
        <v>656</v>
      </c>
      <c r="C19" s="955"/>
      <c r="D19" s="588"/>
      <c r="E19"/>
      <c r="F19"/>
    </row>
    <row r="20" spans="2:6" s="41" customFormat="1" ht="39.950000000000003" customHeight="1">
      <c r="B20" s="955" t="s">
        <v>657</v>
      </c>
      <c r="C20" s="955"/>
      <c r="D20" s="852"/>
      <c r="E20"/>
      <c r="F20"/>
    </row>
    <row r="21" spans="2:6" ht="39.950000000000003" customHeight="1">
      <c r="B21" s="955" t="s">
        <v>677</v>
      </c>
      <c r="C21" s="955"/>
      <c r="E21"/>
      <c r="F21"/>
    </row>
    <row r="22" spans="2:6">
      <c r="B22" s="852"/>
      <c r="C22" s="852"/>
      <c r="E22"/>
      <c r="F22"/>
    </row>
    <row r="23" spans="2:6" ht="32.25" customHeight="1">
      <c r="B23" s="944" t="s">
        <v>542</v>
      </c>
      <c r="C23" s="944"/>
      <c r="E23"/>
      <c r="F23"/>
    </row>
    <row r="24" spans="2:6">
      <c r="B24" s="695" t="s">
        <v>543</v>
      </c>
      <c r="C24" s="41"/>
      <c r="D24" s="41"/>
      <c r="E24"/>
      <c r="F24"/>
    </row>
    <row r="25" spans="2:6" ht="15.75" thickBot="1">
      <c r="B25" s="41"/>
      <c r="C25" s="41"/>
      <c r="E25"/>
      <c r="F25"/>
    </row>
    <row r="26" spans="2:6" ht="26.25" thickBot="1">
      <c r="B26" s="696" t="s">
        <v>544</v>
      </c>
      <c r="C26" s="697" t="s">
        <v>545</v>
      </c>
      <c r="D26" s="696" t="s">
        <v>518</v>
      </c>
      <c r="E26" s="698" t="s">
        <v>546</v>
      </c>
    </row>
    <row r="27" spans="2:6">
      <c r="B27" s="699" t="s">
        <v>547</v>
      </c>
      <c r="C27" s="700">
        <f>+C9-C8</f>
        <v>-1735000</v>
      </c>
      <c r="D27" s="701">
        <f>+C27/$C$30</f>
        <v>0.49275773927861405</v>
      </c>
      <c r="E27" s="702">
        <f>+D27*$C$12</f>
        <v>-1626100.5396194265</v>
      </c>
    </row>
    <row r="28" spans="2:6">
      <c r="B28" s="703" t="s">
        <v>667</v>
      </c>
      <c r="C28" s="704">
        <f>+C10-C8</f>
        <v>-475000</v>
      </c>
      <c r="D28" s="705">
        <f>+C28/$C$30</f>
        <v>0.1349048565748367</v>
      </c>
      <c r="E28" s="706">
        <f>+D28*$C$12</f>
        <v>-445186.02669696108</v>
      </c>
    </row>
    <row r="29" spans="2:6" ht="15.75" thickBot="1">
      <c r="B29" s="707" t="s">
        <v>668</v>
      </c>
      <c r="C29" s="708">
        <f>+C11-C8</f>
        <v>-1311000</v>
      </c>
      <c r="D29" s="709">
        <f>+C29/$C$30</f>
        <v>0.37233740414654926</v>
      </c>
      <c r="E29" s="710">
        <f>+D29*$C$12</f>
        <v>-1228713.4336836126</v>
      </c>
    </row>
    <row r="30" spans="2:6" ht="15.75" thickBot="1">
      <c r="B30" s="711"/>
      <c r="C30" s="712">
        <f>SUM(C27:C29)</f>
        <v>-3521000</v>
      </c>
      <c r="D30" s="713">
        <f>SUM(D27:D29)</f>
        <v>1</v>
      </c>
      <c r="E30" s="714">
        <f>SUM(E27:E29)</f>
        <v>-3300000</v>
      </c>
    </row>
  </sheetData>
  <mergeCells count="9">
    <mergeCell ref="B23:C23"/>
    <mergeCell ref="B14:C14"/>
    <mergeCell ref="B17:C17"/>
    <mergeCell ref="B18:C18"/>
    <mergeCell ref="B19:C19"/>
    <mergeCell ref="B20:C20"/>
    <mergeCell ref="B21:C21"/>
    <mergeCell ref="B15:C15"/>
    <mergeCell ref="B16:C16"/>
  </mergeCells>
  <pageMargins left="0.39370078740157483" right="0.39370078740157483" top="0.74803149606299213" bottom="0.74803149606299213" header="0.31496062992125984" footer="0.31496062992125984"/>
  <pageSetup scale="83" orientation="portrait" verticalDpi="597"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pageSetUpPr fitToPage="1"/>
  </sheetPr>
  <dimension ref="A1:O49"/>
  <sheetViews>
    <sheetView showGridLines="0" zoomScaleNormal="100" workbookViewId="0">
      <selection activeCell="C5" sqref="C5"/>
    </sheetView>
  </sheetViews>
  <sheetFormatPr baseColWidth="10" defaultRowHeight="15"/>
  <cols>
    <col min="1" max="1" width="4.7109375" style="321" customWidth="1"/>
    <col min="2" max="2" width="54.7109375" style="321" customWidth="1"/>
    <col min="3" max="3" width="17" style="321" customWidth="1"/>
    <col min="4" max="4" width="11.42578125" style="328"/>
    <col min="5" max="5" width="10.5703125" style="328" customWidth="1"/>
    <col min="6" max="6" width="18.5703125" style="328" customWidth="1"/>
    <col min="7" max="7" width="13.42578125" style="328" customWidth="1"/>
    <col min="8" max="8" width="10.28515625" style="328" customWidth="1"/>
    <col min="9" max="9" width="13.28515625" style="328" customWidth="1"/>
    <col min="10" max="10" width="11.42578125" style="328"/>
    <col min="11" max="11" width="13.140625" style="328" bestFit="1" customWidth="1"/>
    <col min="12" max="12" width="17.7109375" style="328" customWidth="1"/>
    <col min="13" max="13" width="12" style="328" customWidth="1"/>
    <col min="14" max="14" width="2.7109375" style="328" customWidth="1"/>
    <col min="15" max="15" width="13.140625" style="328" customWidth="1"/>
    <col min="16" max="16" width="11.42578125" style="328"/>
    <col min="17" max="17" width="17.7109375" style="328" customWidth="1"/>
    <col min="18" max="16384" width="11.42578125" style="328"/>
  </cols>
  <sheetData>
    <row r="1" spans="1:15" s="430" customFormat="1">
      <c r="A1" s="312"/>
      <c r="B1" s="219" t="s">
        <v>230</v>
      </c>
      <c r="C1" s="340"/>
      <c r="F1" s="430" t="s">
        <v>507</v>
      </c>
    </row>
    <row r="2" spans="1:15" s="430" customFormat="1" ht="15.75" thickBot="1">
      <c r="A2" s="312"/>
      <c r="B2" s="219" t="s">
        <v>234</v>
      </c>
      <c r="C2" s="340"/>
      <c r="E2" s="430" t="s">
        <v>105</v>
      </c>
      <c r="F2" s="554">
        <v>30000000</v>
      </c>
      <c r="G2" s="549" t="s">
        <v>436</v>
      </c>
      <c r="H2" s="549" t="s">
        <v>446</v>
      </c>
      <c r="I2" s="549" t="s">
        <v>447</v>
      </c>
    </row>
    <row r="3" spans="1:15" ht="16.5" thickBot="1">
      <c r="B3" s="328"/>
      <c r="C3" s="455"/>
      <c r="E3" s="328" t="s">
        <v>448</v>
      </c>
      <c r="F3" s="555">
        <f>64.64%*F2</f>
        <v>19392000</v>
      </c>
      <c r="G3" s="544">
        <v>14</v>
      </c>
      <c r="H3" s="545">
        <v>0.2</v>
      </c>
      <c r="I3" s="545">
        <v>0.8</v>
      </c>
      <c r="K3" s="773" t="s">
        <v>589</v>
      </c>
      <c r="L3" s="774"/>
      <c r="M3" s="774"/>
      <c r="N3" s="774"/>
      <c r="O3" s="775"/>
    </row>
    <row r="4" spans="1:15" ht="16.5" thickBot="1">
      <c r="B4" s="201" t="s">
        <v>506</v>
      </c>
      <c r="E4" s="328" t="s">
        <v>449</v>
      </c>
      <c r="F4" s="555">
        <f>F2-F3</f>
        <v>10608000</v>
      </c>
      <c r="G4" s="544">
        <v>15</v>
      </c>
      <c r="H4" s="545">
        <v>0.2</v>
      </c>
      <c r="I4" s="545">
        <v>0.8</v>
      </c>
      <c r="K4" s="788" t="s">
        <v>610</v>
      </c>
    </row>
    <row r="5" spans="1:15" ht="15.75" thickBot="1">
      <c r="B5" s="6" t="s">
        <v>26</v>
      </c>
      <c r="C5" s="15" t="s">
        <v>155</v>
      </c>
      <c r="F5" s="544"/>
      <c r="G5" s="544" t="s">
        <v>511</v>
      </c>
      <c r="H5" s="545">
        <v>0.03</v>
      </c>
      <c r="I5" s="661">
        <v>3.5000000000000003E-2</v>
      </c>
    </row>
    <row r="6" spans="1:15">
      <c r="B6" s="264" t="s">
        <v>392</v>
      </c>
      <c r="C6" s="280">
        <f>F2</f>
        <v>30000000</v>
      </c>
    </row>
    <row r="7" spans="1:15" ht="15.75" thickBot="1">
      <c r="B7" s="266" t="s">
        <v>602</v>
      </c>
      <c r="C7" s="281">
        <f>+C6</f>
        <v>30000000</v>
      </c>
      <c r="E7" s="653" t="s">
        <v>607</v>
      </c>
      <c r="F7" s="430"/>
      <c r="G7" s="430"/>
      <c r="I7" s="548" t="s">
        <v>451</v>
      </c>
    </row>
    <row r="8" spans="1:15" ht="15.75" thickBot="1">
      <c r="B8" s="267" t="s">
        <v>277</v>
      </c>
      <c r="C8" s="282">
        <f>+O19-I8</f>
        <v>-1277132.0290377326</v>
      </c>
      <c r="E8" s="430" t="s">
        <v>505</v>
      </c>
      <c r="F8" s="430"/>
      <c r="G8" s="654">
        <v>5.3999999999999999E-2</v>
      </c>
      <c r="I8" s="657">
        <f>-1*F2*G11*(G8-G10)/(1+G10)</f>
        <v>-2463461.538461538</v>
      </c>
    </row>
    <row r="9" spans="1:15">
      <c r="B9" s="267" t="s">
        <v>278</v>
      </c>
      <c r="C9" s="282">
        <f>O24-I11</f>
        <v>554932.58802156011</v>
      </c>
      <c r="E9" s="328" t="s">
        <v>504</v>
      </c>
      <c r="G9" s="547">
        <v>3.2000000000000001E-2</v>
      </c>
      <c r="L9" s="658"/>
    </row>
    <row r="10" spans="1:15" ht="15.75" thickBot="1">
      <c r="B10" s="275" t="s">
        <v>269</v>
      </c>
      <c r="C10" s="283">
        <f>MAX(C9,C8,0)</f>
        <v>554932.58802156011</v>
      </c>
      <c r="E10" s="328" t="s">
        <v>437</v>
      </c>
      <c r="G10" s="547">
        <v>0.04</v>
      </c>
      <c r="I10" s="548" t="s">
        <v>472</v>
      </c>
    </row>
    <row r="11" spans="1:15" ht="15.75" thickBot="1">
      <c r="B11" s="211"/>
      <c r="C11" s="211"/>
      <c r="E11" s="328" t="s">
        <v>436</v>
      </c>
      <c r="G11" s="517">
        <v>6.1</v>
      </c>
      <c r="I11" s="657">
        <f>-1*F2*G11*(G9-G10)/(1+G10)</f>
        <v>1407692.3076923077</v>
      </c>
    </row>
    <row r="12" spans="1:15" ht="51.75" thickBot="1">
      <c r="B12" s="23" t="s">
        <v>503</v>
      </c>
      <c r="C12" s="409" t="s">
        <v>608</v>
      </c>
      <c r="D12" s="493"/>
    </row>
    <row r="13" spans="1:15">
      <c r="B13" s="238" t="s">
        <v>1</v>
      </c>
      <c r="C13" s="20">
        <v>1</v>
      </c>
      <c r="E13" s="655" t="s">
        <v>508</v>
      </c>
    </row>
    <row r="14" spans="1:15">
      <c r="B14" s="240" t="s">
        <v>2</v>
      </c>
      <c r="C14" s="21">
        <v>0.75</v>
      </c>
      <c r="E14" s="328" t="s">
        <v>430</v>
      </c>
      <c r="G14" s="546">
        <f>2.89%*(1+0.7*35%)</f>
        <v>3.5980499999999999E-2</v>
      </c>
    </row>
    <row r="15" spans="1:15">
      <c r="B15" s="240" t="s">
        <v>57</v>
      </c>
      <c r="C15" s="21">
        <v>0.5</v>
      </c>
      <c r="E15" s="328" t="s">
        <v>431</v>
      </c>
      <c r="G15" s="546">
        <f>2.89%*(1-0.7*20%)</f>
        <v>2.4854000000000001E-2</v>
      </c>
    </row>
    <row r="16" spans="1:15" ht="15.75" thickBot="1">
      <c r="B16" s="242" t="s">
        <v>4</v>
      </c>
      <c r="C16" s="22">
        <v>0.35</v>
      </c>
      <c r="E16" s="328" t="s">
        <v>450</v>
      </c>
      <c r="G16" s="546">
        <v>2.8899999999999999E-2</v>
      </c>
      <c r="I16" s="548" t="s">
        <v>509</v>
      </c>
      <c r="J16" s="548"/>
      <c r="O16" s="328" t="s">
        <v>105</v>
      </c>
    </row>
    <row r="17" spans="2:15" ht="15.75" thickBot="1">
      <c r="B17" s="212"/>
      <c r="C17" s="212"/>
      <c r="I17" s="328" t="s">
        <v>452</v>
      </c>
      <c r="K17" s="658">
        <f>F3*140%*-G3*(G14-G16)/(1+G16)</f>
        <v>-2615588.587423462</v>
      </c>
      <c r="L17" s="328" t="s">
        <v>453</v>
      </c>
      <c r="M17" s="659">
        <f>F4*140%*-G4*(G14-G16)/(1+G16)</f>
        <v>-1533004.9800758089</v>
      </c>
      <c r="O17" s="658">
        <f>+K17+M17</f>
        <v>-4148593.5674992707</v>
      </c>
    </row>
    <row r="18" spans="2:15" ht="51.75" thickBot="1">
      <c r="B18" s="23" t="s">
        <v>503</v>
      </c>
      <c r="C18" s="409" t="s">
        <v>609</v>
      </c>
      <c r="D18" s="493"/>
      <c r="I18" s="328" t="s">
        <v>454</v>
      </c>
      <c r="J18" s="328" t="s">
        <v>448</v>
      </c>
      <c r="K18" s="658">
        <f>(-3%*H3*40%*F3-3.5%*I3*40%*F3)</f>
        <v>-263731.20000000001</v>
      </c>
      <c r="L18" s="328" t="s">
        <v>455</v>
      </c>
      <c r="M18" s="658">
        <f>(-3%*H4*40%*F4-3.5%*I4*40%*F4)</f>
        <v>-144268.80000000002</v>
      </c>
      <c r="O18" s="658">
        <f t="shared" ref="O18:O19" si="0">+K18+M18</f>
        <v>-408000</v>
      </c>
    </row>
    <row r="19" spans="2:15" ht="15.75" thickBot="1">
      <c r="B19" s="238" t="s">
        <v>262</v>
      </c>
      <c r="C19" s="20">
        <v>0.35</v>
      </c>
      <c r="H19" s="546"/>
      <c r="I19" s="328" t="s">
        <v>512</v>
      </c>
      <c r="K19" s="660">
        <f>(K17-K18)</f>
        <v>-2351857.3874234618</v>
      </c>
      <c r="M19" s="660">
        <f>(M17-M18)</f>
        <v>-1388736.1800758089</v>
      </c>
      <c r="O19" s="660">
        <f t="shared" si="0"/>
        <v>-3740593.5674992707</v>
      </c>
    </row>
    <row r="20" spans="2:15" ht="15.75" thickBot="1">
      <c r="B20" s="242" t="s">
        <v>263</v>
      </c>
      <c r="C20" s="22">
        <v>0.2</v>
      </c>
      <c r="E20" s="516"/>
    </row>
    <row r="21" spans="2:15">
      <c r="B21" s="656"/>
      <c r="C21" s="662"/>
      <c r="I21" s="548" t="s">
        <v>510</v>
      </c>
      <c r="J21" s="548"/>
      <c r="O21" s="328" t="s">
        <v>105</v>
      </c>
    </row>
    <row r="22" spans="2:15">
      <c r="I22" s="328" t="s">
        <v>452</v>
      </c>
      <c r="K22" s="789">
        <f>F3*140%*-G3*(G15-G16)/(1+G16)</f>
        <v>1494622.0499562633</v>
      </c>
      <c r="L22" s="328" t="s">
        <v>453</v>
      </c>
      <c r="M22" s="790">
        <f>F4*140%*-G4*(G15-G16)/(1+G16)</f>
        <v>876002.84575760458</v>
      </c>
      <c r="O22" s="658">
        <f>+K22+M22</f>
        <v>2370624.8957138676</v>
      </c>
    </row>
    <row r="23" spans="2:15" ht="15.75" thickBot="1">
      <c r="B23" s="201" t="s">
        <v>396</v>
      </c>
      <c r="I23" s="328" t="s">
        <v>454</v>
      </c>
      <c r="J23" s="328" t="s">
        <v>448</v>
      </c>
      <c r="K23" s="789">
        <f>(3%*H3*40%*F3+3.5%*I3*40%*F3)</f>
        <v>263731.20000000001</v>
      </c>
      <c r="L23" s="328" t="s">
        <v>455</v>
      </c>
      <c r="M23" s="789">
        <f>(3%*H4*40%*F4+3.5%*I4*40%*F4)</f>
        <v>144268.80000000002</v>
      </c>
      <c r="O23" s="658">
        <f t="shared" ref="O23:O24" si="1">+K23+M23</f>
        <v>408000</v>
      </c>
    </row>
    <row r="24" spans="2:15" ht="15.75" thickBot="1">
      <c r="B24" s="97" t="s">
        <v>235</v>
      </c>
      <c r="C24" s="364" t="s">
        <v>155</v>
      </c>
      <c r="I24" s="328" t="s">
        <v>456</v>
      </c>
      <c r="K24" s="660">
        <f>(K22-K23)</f>
        <v>1230890.8499562633</v>
      </c>
      <c r="M24" s="660">
        <f>(M22-M23)</f>
        <v>731734.04575760453</v>
      </c>
      <c r="O24" s="660">
        <f t="shared" si="1"/>
        <v>1962624.8957138679</v>
      </c>
    </row>
    <row r="25" spans="2:15">
      <c r="B25" s="431" t="s">
        <v>236</v>
      </c>
      <c r="C25" s="899">
        <f>1027396508.10365*uf/1000*6/12</f>
        <v>13165618785.937088</v>
      </c>
      <c r="D25" s="498" t="s">
        <v>678</v>
      </c>
    </row>
    <row r="26" spans="2:15">
      <c r="B26" s="432" t="s">
        <v>237</v>
      </c>
      <c r="C26" s="525">
        <v>0.1111111111111111</v>
      </c>
      <c r="D26" s="498" t="s">
        <v>443</v>
      </c>
    </row>
    <row r="27" spans="2:15">
      <c r="B27" s="572" t="s">
        <v>238</v>
      </c>
      <c r="C27" s="900">
        <f>1.31%*1.25</f>
        <v>1.6375000000000001E-2</v>
      </c>
      <c r="D27" s="498" t="s">
        <v>679</v>
      </c>
    </row>
    <row r="28" spans="2:15">
      <c r="B28" s="572" t="s">
        <v>239</v>
      </c>
      <c r="C28" s="569">
        <v>1.1599999999999999E-2</v>
      </c>
      <c r="D28" s="498" t="s">
        <v>604</v>
      </c>
    </row>
    <row r="29" spans="2:15">
      <c r="B29" s="570" t="s">
        <v>240</v>
      </c>
      <c r="C29" s="571">
        <f>+MAX(0,(C27-C28)*C25*C26)</f>
        <v>6985092.1892055124</v>
      </c>
    </row>
    <row r="30" spans="2:15" ht="15.75">
      <c r="B30" s="570" t="s">
        <v>241</v>
      </c>
      <c r="C30" s="571">
        <f>(C27-1.35%)*C25*C26</f>
        <v>4205683.7788410131</v>
      </c>
      <c r="D30" s="498" t="s">
        <v>444</v>
      </c>
    </row>
    <row r="31" spans="2:15" ht="15.75" thickBot="1">
      <c r="B31" s="76" t="s">
        <v>242</v>
      </c>
      <c r="C31" s="269">
        <f>+C29-C30</f>
        <v>2779408.4103644993</v>
      </c>
      <c r="I31" s="785"/>
    </row>
    <row r="32" spans="2:15" ht="15.75" thickBot="1">
      <c r="B32" s="340"/>
      <c r="C32" s="340"/>
    </row>
    <row r="33" spans="2:5" ht="15.75" thickBot="1">
      <c r="B33" s="97" t="s">
        <v>243</v>
      </c>
      <c r="C33" s="364" t="s">
        <v>155</v>
      </c>
    </row>
    <row r="34" spans="2:5">
      <c r="B34" s="431" t="s">
        <v>236</v>
      </c>
      <c r="C34" s="899">
        <f>620479252.310312*uf/1000*6/12</f>
        <v>7951159300.2968473</v>
      </c>
      <c r="D34" s="498" t="s">
        <v>606</v>
      </c>
    </row>
    <row r="35" spans="2:5">
      <c r="B35" s="432" t="s">
        <v>237</v>
      </c>
      <c r="C35" s="525">
        <v>0.2</v>
      </c>
      <c r="D35" s="498"/>
    </row>
    <row r="36" spans="2:5">
      <c r="B36" s="432" t="s">
        <v>238</v>
      </c>
      <c r="C36" s="900">
        <f>0.89%*1.25</f>
        <v>1.1124999999999999E-2</v>
      </c>
      <c r="D36" s="498" t="s">
        <v>680</v>
      </c>
    </row>
    <row r="37" spans="2:5">
      <c r="B37" s="432" t="s">
        <v>239</v>
      </c>
      <c r="C37" s="526">
        <v>9.5999999999999992E-3</v>
      </c>
      <c r="D37" s="498" t="s">
        <v>605</v>
      </c>
    </row>
    <row r="38" spans="2:5">
      <c r="B38" s="433" t="s">
        <v>240</v>
      </c>
      <c r="C38" s="268">
        <f>+MAX(0,(C36-C37)*C34*C35)</f>
        <v>2425103.5865905392</v>
      </c>
    </row>
    <row r="39" spans="2:5" ht="15.75">
      <c r="B39" s="570" t="s">
        <v>241</v>
      </c>
      <c r="C39" s="571">
        <f>MAX(0,(C36-1.25%)*C34*C35)</f>
        <v>0</v>
      </c>
      <c r="D39" s="498" t="s">
        <v>445</v>
      </c>
    </row>
    <row r="40" spans="2:5" ht="15.75" thickBot="1">
      <c r="B40" s="76" t="s">
        <v>242</v>
      </c>
      <c r="C40" s="269">
        <f>+C38-C39</f>
        <v>2425103.5865905392</v>
      </c>
      <c r="E40" s="540"/>
    </row>
    <row r="41" spans="2:5" ht="15.75" thickBot="1">
      <c r="B41" s="340"/>
      <c r="C41" s="340"/>
    </row>
    <row r="42" spans="2:5" ht="15.75" thickBot="1">
      <c r="B42" s="97" t="s">
        <v>244</v>
      </c>
      <c r="C42" s="364" t="s">
        <v>155</v>
      </c>
    </row>
    <row r="43" spans="2:5">
      <c r="B43" s="431" t="s">
        <v>245</v>
      </c>
      <c r="C43" s="434">
        <f>+C6</f>
        <v>30000000</v>
      </c>
    </row>
    <row r="44" spans="2:5">
      <c r="B44" s="432" t="s">
        <v>419</v>
      </c>
      <c r="C44" s="772">
        <v>0.01</v>
      </c>
    </row>
    <row r="45" spans="2:5" ht="15.75" thickBot="1">
      <c r="B45" s="76" t="s">
        <v>386</v>
      </c>
      <c r="C45" s="435">
        <f>+C43*C44</f>
        <v>300000</v>
      </c>
    </row>
    <row r="46" spans="2:5" ht="15.75" thickBot="1"/>
    <row r="47" spans="2:5">
      <c r="B47" s="494" t="s">
        <v>601</v>
      </c>
      <c r="C47" s="495">
        <f>+C10</f>
        <v>554932.58802156011</v>
      </c>
    </row>
    <row r="48" spans="2:5" ht="15.75" thickBot="1">
      <c r="B48" s="496" t="s">
        <v>393</v>
      </c>
      <c r="C48" s="497">
        <f>+C31+C40+C45</f>
        <v>5504511.996955039</v>
      </c>
    </row>
    <row r="49" spans="2:4" ht="15.75" thickBot="1">
      <c r="B49" s="458" t="s">
        <v>246</v>
      </c>
      <c r="C49" s="457">
        <f>+C47+C48</f>
        <v>6059444.5849765986</v>
      </c>
      <c r="D49" s="498"/>
    </row>
  </sheetData>
  <pageMargins left="0.7" right="0.7" top="0.75" bottom="0.75" header="0.3" footer="0.3"/>
  <pageSetup scale="87" orientation="portrait" verticalDpi="597"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B1:L41"/>
  <sheetViews>
    <sheetView showGridLines="0" zoomScaleNormal="100" workbookViewId="0">
      <selection activeCell="J14" sqref="J14"/>
    </sheetView>
  </sheetViews>
  <sheetFormatPr baseColWidth="10" defaultRowHeight="15"/>
  <cols>
    <col min="1" max="1" width="4.7109375" customWidth="1"/>
    <col min="2" max="2" width="54.7109375" customWidth="1"/>
    <col min="3" max="7" width="12.7109375" customWidth="1"/>
    <col min="9" max="9" width="30.85546875" customWidth="1"/>
    <col min="10" max="12" width="16.7109375" customWidth="1"/>
  </cols>
  <sheetData>
    <row r="1" spans="2:10">
      <c r="B1" s="201" t="s">
        <v>171</v>
      </c>
      <c r="C1" s="41"/>
      <c r="D1" s="41"/>
      <c r="E1" s="41"/>
      <c r="F1" s="41"/>
      <c r="G1" s="41"/>
    </row>
    <row r="2" spans="2:10">
      <c r="B2" s="201" t="s">
        <v>71</v>
      </c>
      <c r="C2" s="227"/>
      <c r="D2" s="41"/>
      <c r="E2" s="41"/>
      <c r="F2" s="41"/>
      <c r="G2" s="41"/>
    </row>
    <row r="3" spans="2:10" ht="15.75">
      <c r="B3" s="206" t="s">
        <v>111</v>
      </c>
      <c r="C3" s="215"/>
      <c r="D3" s="211"/>
      <c r="E3" s="211"/>
      <c r="F3" s="211"/>
      <c r="G3" s="211"/>
    </row>
    <row r="4" spans="2:10" ht="16.5" customHeight="1" thickBot="1">
      <c r="B4" s="211"/>
      <c r="C4" s="211"/>
      <c r="D4" s="211"/>
      <c r="E4" s="211"/>
      <c r="F4" s="211"/>
      <c r="G4" s="211"/>
    </row>
    <row r="5" spans="2:10" ht="45" customHeight="1" thickBot="1">
      <c r="B5" s="101" t="s">
        <v>115</v>
      </c>
      <c r="C5" s="8" t="s">
        <v>112</v>
      </c>
      <c r="D5" s="7" t="s">
        <v>113</v>
      </c>
      <c r="E5" s="7" t="s">
        <v>114</v>
      </c>
      <c r="F5" s="7" t="s">
        <v>180</v>
      </c>
      <c r="G5" s="10" t="s">
        <v>5</v>
      </c>
      <c r="J5" s="15" t="s">
        <v>639</v>
      </c>
    </row>
    <row r="6" spans="2:10" ht="15" customHeight="1">
      <c r="B6" s="47" t="s">
        <v>72</v>
      </c>
      <c r="C6" s="48"/>
      <c r="D6" s="49"/>
      <c r="E6" s="49"/>
      <c r="F6" s="49"/>
      <c r="G6" s="50"/>
      <c r="I6" s="828" t="s">
        <v>640</v>
      </c>
      <c r="J6" s="466">
        <f>G10+G16</f>
        <v>8026000</v>
      </c>
    </row>
    <row r="7" spans="2:10" ht="15" customHeight="1">
      <c r="B7" s="686" t="s">
        <v>423</v>
      </c>
      <c r="C7" s="181">
        <v>15000000</v>
      </c>
      <c r="D7" s="182">
        <f>+C7*(1-E7)</f>
        <v>11565000</v>
      </c>
      <c r="E7" s="685">
        <v>0.22900000000000001</v>
      </c>
      <c r="F7" s="182" t="s">
        <v>356</v>
      </c>
      <c r="G7" s="184">
        <f>+C7-D7</f>
        <v>3435000</v>
      </c>
      <c r="I7" s="829" t="s">
        <v>641</v>
      </c>
      <c r="J7" s="830">
        <f>G22</f>
        <v>0</v>
      </c>
    </row>
    <row r="8" spans="2:10" ht="15" customHeight="1">
      <c r="B8" s="686" t="s">
        <v>424</v>
      </c>
      <c r="C8" s="181">
        <v>15000000</v>
      </c>
      <c r="D8" s="182">
        <f t="shared" ref="D8:D9" si="0">+C8*(1-E8)</f>
        <v>11565000</v>
      </c>
      <c r="E8" s="685">
        <v>0.22900000000000001</v>
      </c>
      <c r="F8" s="182" t="s">
        <v>356</v>
      </c>
      <c r="G8" s="184">
        <f t="shared" ref="G8:G9" si="1">+C8-D8</f>
        <v>3435000</v>
      </c>
      <c r="I8" s="829" t="s">
        <v>642</v>
      </c>
      <c r="J8" s="830">
        <f>G28</f>
        <v>800000</v>
      </c>
    </row>
    <row r="9" spans="2:10" ht="15" customHeight="1" thickBot="1">
      <c r="B9" s="55" t="s">
        <v>102</v>
      </c>
      <c r="C9" s="185"/>
      <c r="D9" s="186">
        <f t="shared" si="0"/>
        <v>0</v>
      </c>
      <c r="E9" s="183">
        <v>0.3</v>
      </c>
      <c r="F9" s="186"/>
      <c r="G9" s="187">
        <f t="shared" si="1"/>
        <v>0</v>
      </c>
      <c r="I9" s="831" t="s">
        <v>105</v>
      </c>
      <c r="J9" s="288">
        <f>SUM(J6:J8)</f>
        <v>8826000</v>
      </c>
    </row>
    <row r="10" spans="2:10" ht="15" customHeight="1" thickBot="1">
      <c r="B10" s="24" t="s">
        <v>73</v>
      </c>
      <c r="C10" s="188">
        <f t="shared" ref="C10:D10" si="2">SUM(C7:C9)</f>
        <v>30000000</v>
      </c>
      <c r="D10" s="189">
        <f t="shared" si="2"/>
        <v>23130000</v>
      </c>
      <c r="E10" s="189"/>
      <c r="F10" s="189"/>
      <c r="G10" s="190">
        <f>SUM(G7:G9)</f>
        <v>6870000</v>
      </c>
      <c r="I10" s="470" t="s">
        <v>403</v>
      </c>
      <c r="J10" s="471">
        <f>SQRT(MMULT(J27:L27,J6:J8))</f>
        <v>8782242.3104808498</v>
      </c>
    </row>
    <row r="11" spans="2:10" ht="15" customHeight="1">
      <c r="B11" s="58"/>
      <c r="C11" s="191"/>
      <c r="D11" s="192"/>
      <c r="E11" s="192"/>
      <c r="F11" s="192"/>
      <c r="G11" s="193"/>
      <c r="I11" s="832" t="s">
        <v>216</v>
      </c>
      <c r="J11" s="844">
        <f>J9-J10</f>
        <v>43757.689519150183</v>
      </c>
    </row>
    <row r="12" spans="2:10" ht="15" customHeight="1">
      <c r="B12" s="60" t="s">
        <v>175</v>
      </c>
      <c r="C12" s="185"/>
      <c r="D12" s="186"/>
      <c r="E12" s="186"/>
      <c r="F12" s="186"/>
      <c r="G12" s="187"/>
      <c r="I12" s="833" t="s">
        <v>215</v>
      </c>
      <c r="J12" s="834">
        <f>+J11/J9</f>
        <v>4.9578166235157697E-3</v>
      </c>
    </row>
    <row r="13" spans="2:10" ht="15" customHeight="1" thickBot="1">
      <c r="B13" s="686" t="s">
        <v>523</v>
      </c>
      <c r="C13" s="181">
        <v>4000000</v>
      </c>
      <c r="D13" s="182">
        <f t="shared" ref="D13:D15" si="3">+C13*(1-E13)</f>
        <v>2844000.0000000005</v>
      </c>
      <c r="E13" s="685">
        <v>0.28899999999999998</v>
      </c>
      <c r="F13" s="186" t="s">
        <v>354</v>
      </c>
      <c r="G13" s="184">
        <f>+C13-D13</f>
        <v>1155999.9999999995</v>
      </c>
      <c r="I13" s="835" t="s">
        <v>643</v>
      </c>
      <c r="J13" s="168">
        <f>G31</f>
        <v>180000</v>
      </c>
    </row>
    <row r="14" spans="2:10" ht="15" customHeight="1" thickBot="1">
      <c r="B14" s="51" t="s">
        <v>8</v>
      </c>
      <c r="C14" s="185"/>
      <c r="D14" s="182">
        <f t="shared" si="3"/>
        <v>0</v>
      </c>
      <c r="E14" s="183">
        <v>0.3</v>
      </c>
      <c r="F14" s="186"/>
      <c r="G14" s="184">
        <f t="shared" ref="G14:G15" si="4">+C14-D14</f>
        <v>0</v>
      </c>
      <c r="I14" s="233" t="s">
        <v>644</v>
      </c>
      <c r="J14" s="234">
        <f>J10+J13</f>
        <v>8962242.3104808498</v>
      </c>
    </row>
    <row r="15" spans="2:10" ht="15" customHeight="1">
      <c r="B15" s="55" t="s">
        <v>102</v>
      </c>
      <c r="C15" s="185"/>
      <c r="D15" s="186">
        <f t="shared" si="3"/>
        <v>0</v>
      </c>
      <c r="E15" s="183">
        <v>0.3</v>
      </c>
      <c r="F15" s="186"/>
      <c r="G15" s="187">
        <f t="shared" si="4"/>
        <v>0</v>
      </c>
    </row>
    <row r="16" spans="2:10" ht="15" customHeight="1" thickBot="1">
      <c r="B16" s="24" t="s">
        <v>176</v>
      </c>
      <c r="C16" s="188">
        <f t="shared" ref="C16:D16" si="5">SUM(C13:C15)</f>
        <v>4000000</v>
      </c>
      <c r="D16" s="189">
        <f t="shared" si="5"/>
        <v>2844000.0000000005</v>
      </c>
      <c r="E16" s="189"/>
      <c r="F16" s="189"/>
      <c r="G16" s="190">
        <f>SUM(G13:G15)</f>
        <v>1155999.9999999995</v>
      </c>
    </row>
    <row r="17" spans="2:12" ht="15" customHeight="1" thickBot="1">
      <c r="B17" s="61"/>
      <c r="C17" s="185"/>
      <c r="D17" s="186"/>
      <c r="E17" s="186"/>
      <c r="F17" s="186"/>
      <c r="G17" s="187"/>
      <c r="J17" s="907" t="s">
        <v>645</v>
      </c>
      <c r="K17" s="908"/>
      <c r="L17" s="909"/>
    </row>
    <row r="18" spans="2:12" ht="15" customHeight="1">
      <c r="B18" s="60" t="s">
        <v>198</v>
      </c>
      <c r="C18" s="185"/>
      <c r="D18" s="186"/>
      <c r="E18" s="186"/>
      <c r="F18" s="186"/>
      <c r="G18" s="187"/>
      <c r="I18" s="17"/>
      <c r="J18" s="910" t="s">
        <v>53</v>
      </c>
      <c r="K18" s="910" t="s">
        <v>641</v>
      </c>
      <c r="L18" s="910" t="s">
        <v>642</v>
      </c>
    </row>
    <row r="19" spans="2:12" ht="15" customHeight="1" thickBot="1">
      <c r="B19" s="51" t="s">
        <v>7</v>
      </c>
      <c r="C19" s="185"/>
      <c r="D19" s="186">
        <f t="shared" ref="D19" si="6">+C19*(1-E19)</f>
        <v>0</v>
      </c>
      <c r="E19" s="183">
        <v>0.4</v>
      </c>
      <c r="F19" s="845"/>
      <c r="G19" s="184">
        <f>+C19-D19</f>
        <v>0</v>
      </c>
      <c r="J19" s="911"/>
      <c r="K19" s="911"/>
      <c r="L19" s="911"/>
    </row>
    <row r="20" spans="2:12" ht="15" customHeight="1">
      <c r="B20" s="51" t="s">
        <v>8</v>
      </c>
      <c r="C20" s="185"/>
      <c r="D20" s="186">
        <f t="shared" ref="D20:D21" si="7">+C20*(1-E20)</f>
        <v>0</v>
      </c>
      <c r="E20" s="183">
        <v>0.4</v>
      </c>
      <c r="F20" s="186"/>
      <c r="G20" s="184">
        <f t="shared" ref="G20:G21" si="8">+C20-D20</f>
        <v>0</v>
      </c>
      <c r="I20" s="475" t="s">
        <v>53</v>
      </c>
      <c r="J20" s="836">
        <v>1</v>
      </c>
      <c r="K20" s="837">
        <v>0.87</v>
      </c>
      <c r="L20" s="837">
        <v>0.94</v>
      </c>
    </row>
    <row r="21" spans="2:12" ht="15" customHeight="1">
      <c r="B21" s="55" t="s">
        <v>102</v>
      </c>
      <c r="C21" s="185"/>
      <c r="D21" s="186">
        <f t="shared" si="7"/>
        <v>0</v>
      </c>
      <c r="E21" s="183">
        <v>0.4</v>
      </c>
      <c r="F21" s="186"/>
      <c r="G21" s="187">
        <f t="shared" si="8"/>
        <v>0</v>
      </c>
      <c r="I21" s="838" t="s">
        <v>641</v>
      </c>
      <c r="J21" s="839">
        <v>0.87</v>
      </c>
      <c r="K21" s="840">
        <v>1</v>
      </c>
      <c r="L21" s="841">
        <v>0.86</v>
      </c>
    </row>
    <row r="22" spans="2:12" ht="15" customHeight="1" thickBot="1">
      <c r="B22" s="24" t="s">
        <v>177</v>
      </c>
      <c r="C22" s="188">
        <f t="shared" ref="C22:D22" si="9">SUM(C19:C21)</f>
        <v>0</v>
      </c>
      <c r="D22" s="189">
        <f t="shared" si="9"/>
        <v>0</v>
      </c>
      <c r="E22" s="189"/>
      <c r="F22" s="189"/>
      <c r="G22" s="190">
        <f>SUM(G19:G21)</f>
        <v>0</v>
      </c>
      <c r="I22" s="842" t="s">
        <v>642</v>
      </c>
      <c r="J22" s="843">
        <v>0.94</v>
      </c>
      <c r="K22" s="843">
        <v>0.86</v>
      </c>
      <c r="L22" s="843">
        <v>1</v>
      </c>
    </row>
    <row r="23" spans="2:12">
      <c r="B23" s="61"/>
      <c r="C23" s="185"/>
      <c r="D23" s="186"/>
      <c r="E23" s="186"/>
      <c r="F23" s="186"/>
      <c r="G23" s="187"/>
    </row>
    <row r="24" spans="2:12">
      <c r="B24" s="60" t="s">
        <v>178</v>
      </c>
      <c r="C24" s="185"/>
      <c r="D24" s="186"/>
      <c r="E24" s="186"/>
      <c r="F24" s="186"/>
      <c r="G24" s="187"/>
    </row>
    <row r="25" spans="2:12" ht="15.75" thickBot="1">
      <c r="B25" s="686" t="s">
        <v>425</v>
      </c>
      <c r="C25" s="185">
        <v>2000000</v>
      </c>
      <c r="D25" s="182">
        <f t="shared" ref="D25" si="10">+C25*(1-E25)</f>
        <v>1200000</v>
      </c>
      <c r="E25" s="685">
        <v>0.4</v>
      </c>
      <c r="F25" s="186"/>
      <c r="G25" s="184">
        <f>+C25-D25</f>
        <v>800000</v>
      </c>
    </row>
    <row r="26" spans="2:12" ht="15.75" thickBot="1">
      <c r="B26" s="51" t="s">
        <v>8</v>
      </c>
      <c r="C26" s="185"/>
      <c r="D26" s="186">
        <f t="shared" ref="D26:D27" si="11">+C26*(1-E26)</f>
        <v>0</v>
      </c>
      <c r="E26" s="183">
        <v>0.5</v>
      </c>
      <c r="F26" s="186"/>
      <c r="G26" s="184">
        <f t="shared" ref="G26:G27" si="12">+C26-D26</f>
        <v>0</v>
      </c>
      <c r="J26" s="907" t="s">
        <v>214</v>
      </c>
      <c r="K26" s="908"/>
      <c r="L26" s="909"/>
    </row>
    <row r="27" spans="2:12" ht="15.75" thickBot="1">
      <c r="B27" s="55" t="s">
        <v>102</v>
      </c>
      <c r="C27" s="185"/>
      <c r="D27" s="186">
        <f t="shared" si="11"/>
        <v>0</v>
      </c>
      <c r="E27" s="183">
        <v>0.5</v>
      </c>
      <c r="F27" s="186"/>
      <c r="G27" s="187">
        <f t="shared" si="12"/>
        <v>0</v>
      </c>
      <c r="J27" s="178">
        <f t="array" ref="J27:L27">MMULT(TRANSPOSE(J6:J8),J20:L22)</f>
        <v>8778000</v>
      </c>
      <c r="K27" s="179">
        <v>7670620</v>
      </c>
      <c r="L27" s="180">
        <v>8344440</v>
      </c>
    </row>
    <row r="28" spans="2:12">
      <c r="B28" s="24" t="s">
        <v>179</v>
      </c>
      <c r="C28" s="188">
        <f t="shared" ref="C28:D28" si="13">SUM(C25:C27)</f>
        <v>2000000</v>
      </c>
      <c r="D28" s="189">
        <f t="shared" si="13"/>
        <v>1200000</v>
      </c>
      <c r="E28" s="189"/>
      <c r="F28" s="189"/>
      <c r="G28" s="190">
        <f>SUM(G25:G27)</f>
        <v>800000</v>
      </c>
    </row>
    <row r="29" spans="2:12">
      <c r="B29" s="51"/>
      <c r="C29" s="185"/>
      <c r="D29" s="182"/>
      <c r="E29" s="183"/>
      <c r="F29" s="186"/>
      <c r="G29" s="184"/>
    </row>
    <row r="30" spans="2:12">
      <c r="B30" s="60" t="s">
        <v>427</v>
      </c>
      <c r="C30" s="185">
        <v>360000</v>
      </c>
      <c r="D30" s="182">
        <f t="shared" ref="D30" si="14">+C30*(1-E30)</f>
        <v>180000</v>
      </c>
      <c r="E30" s="183">
        <v>0.5</v>
      </c>
      <c r="F30" s="186"/>
      <c r="G30" s="184">
        <f>+C30-D30</f>
        <v>180000</v>
      </c>
    </row>
    <row r="31" spans="2:12">
      <c r="B31" s="24" t="s">
        <v>493</v>
      </c>
      <c r="C31" s="188">
        <f>+C30</f>
        <v>360000</v>
      </c>
      <c r="D31" s="189">
        <f>+D30</f>
        <v>180000</v>
      </c>
      <c r="E31" s="189"/>
      <c r="F31" s="189"/>
      <c r="G31" s="190">
        <f>+G30</f>
        <v>180000</v>
      </c>
    </row>
    <row r="32" spans="2:12" ht="15.75" thickBot="1">
      <c r="B32" s="61"/>
      <c r="C32" s="185"/>
      <c r="D32" s="186"/>
      <c r="E32" s="186"/>
      <c r="F32" s="186"/>
      <c r="G32" s="187"/>
    </row>
    <row r="33" spans="2:8" ht="16.5" customHeight="1" thickBot="1">
      <c r="B33" s="29" t="s">
        <v>74</v>
      </c>
      <c r="C33" s="207">
        <f>+C10+C16+C22+C28+C31</f>
        <v>36360000</v>
      </c>
      <c r="D33" s="208">
        <f>+D10+D16+D22+D28+D31</f>
        <v>27354000</v>
      </c>
      <c r="E33" s="208"/>
      <c r="F33" s="208"/>
      <c r="G33" s="209">
        <f>+G10+G16+G22+G28+G31</f>
        <v>9006000</v>
      </c>
      <c r="H33" s="118"/>
    </row>
    <row r="34" spans="2:8" s="41" customFormat="1" ht="2.25" customHeight="1">
      <c r="B34" s="213"/>
      <c r="C34" s="18"/>
      <c r="D34" s="18"/>
      <c r="E34" s="18"/>
      <c r="F34" s="18"/>
      <c r="G34" s="18"/>
    </row>
    <row r="35" spans="2:8" s="41" customFormat="1" ht="30" customHeight="1">
      <c r="B35" s="924" t="s">
        <v>200</v>
      </c>
      <c r="C35" s="924"/>
      <c r="D35" s="924"/>
      <c r="E35" s="924"/>
      <c r="F35" s="924"/>
      <c r="G35" s="924"/>
    </row>
    <row r="36" spans="2:8" s="41" customFormat="1">
      <c r="B36" s="214" t="s">
        <v>181</v>
      </c>
      <c r="C36" s="214"/>
      <c r="D36" s="214"/>
      <c r="E36" s="214"/>
      <c r="F36" s="214"/>
      <c r="G36" s="214"/>
    </row>
    <row r="37" spans="2:8" s="41" customFormat="1" ht="15.75" thickBot="1">
      <c r="B37" s="212"/>
      <c r="C37" s="212"/>
      <c r="D37" s="212"/>
      <c r="E37" s="212"/>
      <c r="F37" s="212"/>
      <c r="G37" s="212"/>
    </row>
    <row r="38" spans="2:8" ht="30" customHeight="1" thickBot="1">
      <c r="B38" s="912" t="s">
        <v>115</v>
      </c>
      <c r="C38" s="913"/>
      <c r="D38" s="914"/>
      <c r="E38" s="19" t="s">
        <v>49</v>
      </c>
      <c r="F38" s="211"/>
      <c r="G38" s="211"/>
    </row>
    <row r="39" spans="2:8">
      <c r="B39" s="915" t="s">
        <v>53</v>
      </c>
      <c r="C39" s="916"/>
      <c r="D39" s="917"/>
      <c r="E39" s="20">
        <v>0.3</v>
      </c>
      <c r="F39" s="211"/>
      <c r="G39" s="211"/>
    </row>
    <row r="40" spans="2:8">
      <c r="B40" s="918" t="s">
        <v>54</v>
      </c>
      <c r="C40" s="919"/>
      <c r="D40" s="920"/>
      <c r="E40" s="21">
        <v>0.4</v>
      </c>
      <c r="F40" s="211"/>
      <c r="G40" s="211"/>
    </row>
    <row r="41" spans="2:8" ht="15.75" thickBot="1">
      <c r="B41" s="921" t="s">
        <v>55</v>
      </c>
      <c r="C41" s="922"/>
      <c r="D41" s="923"/>
      <c r="E41" s="22">
        <v>0.5</v>
      </c>
      <c r="F41" s="211"/>
      <c r="G41" s="211"/>
    </row>
  </sheetData>
  <mergeCells count="10">
    <mergeCell ref="B38:D38"/>
    <mergeCell ref="B39:D39"/>
    <mergeCell ref="B40:D40"/>
    <mergeCell ref="B41:D41"/>
    <mergeCell ref="B35:G35"/>
    <mergeCell ref="J17:L17"/>
    <mergeCell ref="J18:J19"/>
    <mergeCell ref="K18:K19"/>
    <mergeCell ref="L18:L19"/>
    <mergeCell ref="J26:L26"/>
  </mergeCells>
  <pageMargins left="0.7" right="0.7" top="0.75" bottom="0.75" header="0.3" footer="0.3"/>
  <pageSetup scale="74" orientation="portrait" verticalDpi="597"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pageSetUpPr fitToPage="1"/>
  </sheetPr>
  <dimension ref="B1:N51"/>
  <sheetViews>
    <sheetView zoomScaleNormal="100" workbookViewId="0">
      <selection activeCell="D11" sqref="D11"/>
    </sheetView>
  </sheetViews>
  <sheetFormatPr baseColWidth="10" defaultRowHeight="15"/>
  <cols>
    <col min="1" max="1" width="2.7109375" customWidth="1"/>
    <col min="2" max="2" width="40.7109375" customWidth="1"/>
    <col min="3" max="7" width="14.7109375" customWidth="1"/>
    <col min="8" max="8" width="4.7109375" customWidth="1"/>
    <col min="9" max="11" width="14.7109375" customWidth="1"/>
    <col min="12" max="12" width="4.7109375" customWidth="1"/>
    <col min="13" max="13" width="31" bestFit="1" customWidth="1"/>
    <col min="14" max="14" width="14.7109375" customWidth="1"/>
  </cols>
  <sheetData>
    <row r="1" spans="2:11" s="41" customFormat="1" ht="18">
      <c r="B1" s="274" t="s">
        <v>230</v>
      </c>
      <c r="C1" s="212"/>
      <c r="D1" s="212"/>
      <c r="E1" s="212"/>
      <c r="F1" s="212"/>
      <c r="G1" s="212"/>
      <c r="H1" s="212"/>
      <c r="I1" s="212"/>
    </row>
    <row r="2" spans="2:11" s="41" customFormat="1" ht="18">
      <c r="B2" s="274" t="s">
        <v>247</v>
      </c>
      <c r="C2" s="212"/>
      <c r="D2" s="212"/>
      <c r="E2" s="212"/>
      <c r="F2" s="212"/>
      <c r="G2" s="212"/>
      <c r="H2" s="212"/>
      <c r="I2" s="212"/>
    </row>
    <row r="3" spans="2:11" s="41" customFormat="1" ht="6" customHeight="1">
      <c r="B3" s="212"/>
      <c r="C3" s="212"/>
      <c r="D3" s="212"/>
      <c r="E3" s="212"/>
      <c r="F3" s="212"/>
      <c r="G3" s="212"/>
      <c r="H3" s="212"/>
      <c r="I3" s="212"/>
    </row>
    <row r="4" spans="2:11" s="41" customFormat="1" ht="15.75">
      <c r="B4" s="206" t="s">
        <v>71</v>
      </c>
      <c r="C4" s="212"/>
      <c r="D4" s="212"/>
      <c r="E4" s="212"/>
      <c r="F4" s="212"/>
      <c r="G4" s="212"/>
      <c r="H4" s="212"/>
      <c r="I4" s="212"/>
    </row>
    <row r="5" spans="2:11" s="41" customFormat="1">
      <c r="B5" s="978" t="s">
        <v>387</v>
      </c>
      <c r="C5" s="978"/>
      <c r="D5" s="978"/>
      <c r="E5" s="978"/>
      <c r="F5" s="978"/>
      <c r="G5" s="978"/>
      <c r="H5" s="978"/>
      <c r="I5" s="978"/>
      <c r="J5" s="978"/>
      <c r="K5" s="978"/>
    </row>
    <row r="6" spans="2:11" s="41" customFormat="1">
      <c r="B6" s="954" t="s">
        <v>248</v>
      </c>
      <c r="C6" s="954"/>
      <c r="D6" s="954"/>
      <c r="E6" s="954"/>
      <c r="F6" s="954"/>
      <c r="G6" s="954"/>
      <c r="H6" s="954"/>
      <c r="I6" s="954"/>
      <c r="J6" s="954"/>
      <c r="K6" s="954"/>
    </row>
    <row r="7" spans="2:11" s="41" customFormat="1" ht="30" customHeight="1">
      <c r="B7" s="954" t="s">
        <v>249</v>
      </c>
      <c r="C7" s="954"/>
      <c r="D7" s="954"/>
      <c r="E7" s="954"/>
      <c r="F7" s="954"/>
      <c r="G7" s="954"/>
      <c r="H7" s="954"/>
      <c r="I7" s="954"/>
      <c r="J7" s="954"/>
      <c r="K7" s="954"/>
    </row>
    <row r="8" spans="2:11" s="41" customFormat="1" ht="30" customHeight="1">
      <c r="B8" s="954" t="s">
        <v>250</v>
      </c>
      <c r="C8" s="954"/>
      <c r="D8" s="954"/>
      <c r="E8" s="954"/>
      <c r="F8" s="954"/>
      <c r="G8" s="954"/>
      <c r="H8" s="954"/>
      <c r="I8" s="954"/>
      <c r="J8" s="954"/>
      <c r="K8" s="954"/>
    </row>
    <row r="9" spans="2:11" s="41" customFormat="1" ht="15.75" thickBot="1">
      <c r="B9" s="212"/>
      <c r="C9" s="212"/>
      <c r="D9" s="212"/>
      <c r="E9" s="212"/>
      <c r="F9" s="212"/>
      <c r="G9" s="212"/>
      <c r="H9" s="212"/>
      <c r="I9" s="212"/>
    </row>
    <row r="10" spans="2:11" ht="15.75" thickBot="1">
      <c r="B10" s="212"/>
      <c r="C10" s="3" t="s">
        <v>251</v>
      </c>
      <c r="D10" s="4"/>
      <c r="E10" s="4"/>
      <c r="F10" s="5"/>
      <c r="G10" s="43"/>
      <c r="H10" s="41"/>
      <c r="I10" s="212"/>
      <c r="J10" s="41"/>
      <c r="K10" s="41"/>
    </row>
    <row r="11" spans="2:11" ht="26.25" thickBot="1">
      <c r="B11" s="34" t="s">
        <v>252</v>
      </c>
      <c r="C11" s="499" t="s">
        <v>458</v>
      </c>
      <c r="D11" s="511" t="s">
        <v>459</v>
      </c>
      <c r="E11" s="7">
        <v>3</v>
      </c>
      <c r="F11" s="10" t="s">
        <v>172</v>
      </c>
      <c r="G11" s="244" t="s">
        <v>155</v>
      </c>
      <c r="H11" s="41"/>
      <c r="I11" s="212"/>
      <c r="J11" s="41"/>
      <c r="K11" s="41"/>
    </row>
    <row r="12" spans="2:11">
      <c r="B12" s="64" t="s">
        <v>253</v>
      </c>
      <c r="C12" s="52">
        <v>85000000</v>
      </c>
      <c r="D12" s="130">
        <v>5000000</v>
      </c>
      <c r="E12" s="53"/>
      <c r="F12" s="54"/>
      <c r="G12" s="65">
        <f>SUM(C12:F12)</f>
        <v>90000000</v>
      </c>
      <c r="H12" s="41"/>
      <c r="I12" s="201" t="s">
        <v>590</v>
      </c>
      <c r="K12" s="41"/>
    </row>
    <row r="13" spans="2:11">
      <c r="B13" s="64" t="s">
        <v>254</v>
      </c>
      <c r="C13" s="52"/>
      <c r="D13" s="130">
        <f>+D12*D14</f>
        <v>500000</v>
      </c>
      <c r="E13" s="53">
        <f t="shared" ref="E13:F13" si="0">+E12*E14</f>
        <v>0</v>
      </c>
      <c r="F13" s="54">
        <f t="shared" si="0"/>
        <v>0</v>
      </c>
      <c r="G13" s="65">
        <f>SUM(C13:F13)</f>
        <v>500000</v>
      </c>
      <c r="H13" s="41"/>
      <c r="I13" s="212"/>
      <c r="J13" s="41"/>
      <c r="K13" s="41"/>
    </row>
    <row r="14" spans="2:11" ht="15.75" thickBot="1">
      <c r="B14" s="73" t="s">
        <v>255</v>
      </c>
      <c r="C14" s="74"/>
      <c r="D14" s="581">
        <v>0.1</v>
      </c>
      <c r="E14" s="44"/>
      <c r="F14" s="45"/>
      <c r="G14" s="46"/>
      <c r="H14" s="41"/>
      <c r="I14" s="212"/>
      <c r="J14" s="41"/>
      <c r="K14" s="41"/>
    </row>
    <row r="15" spans="2:11" ht="3" customHeight="1">
      <c r="B15" s="43"/>
      <c r="C15" s="43"/>
      <c r="D15" s="43"/>
      <c r="E15" s="43"/>
      <c r="F15" s="43"/>
      <c r="G15" s="43"/>
      <c r="H15" s="41"/>
      <c r="I15" s="212"/>
      <c r="J15" s="41"/>
      <c r="K15" s="41"/>
    </row>
    <row r="16" spans="2:11">
      <c r="B16" s="212" t="s">
        <v>256</v>
      </c>
      <c r="C16" s="212"/>
      <c r="D16" s="212"/>
      <c r="E16" s="212"/>
      <c r="F16" s="212"/>
      <c r="G16" s="212"/>
      <c r="H16" s="41"/>
      <c r="I16" s="212"/>
      <c r="J16" s="41"/>
      <c r="K16" s="41"/>
    </row>
    <row r="17" spans="2:14">
      <c r="B17" s="212"/>
      <c r="C17" s="212"/>
      <c r="D17" s="212"/>
      <c r="E17" s="212"/>
      <c r="F17" s="212"/>
      <c r="G17" s="212"/>
      <c r="H17" s="212"/>
      <c r="I17" s="212"/>
      <c r="J17" s="41"/>
      <c r="K17" s="41"/>
    </row>
    <row r="18" spans="2:14" ht="15.75">
      <c r="B18" s="206" t="s">
        <v>257</v>
      </c>
      <c r="C18" s="212"/>
      <c r="D18" s="212"/>
      <c r="E18" s="212"/>
      <c r="F18" s="212"/>
      <c r="G18" s="212"/>
      <c r="H18" s="212"/>
      <c r="I18" s="212"/>
      <c r="J18" s="41"/>
      <c r="K18" s="41"/>
    </row>
    <row r="19" spans="2:14" ht="30" customHeight="1">
      <c r="B19" s="979" t="s">
        <v>388</v>
      </c>
      <c r="C19" s="979"/>
      <c r="D19" s="979"/>
      <c r="E19" s="979"/>
      <c r="F19" s="979"/>
      <c r="G19" s="979"/>
      <c r="H19" s="979"/>
      <c r="I19" s="979"/>
      <c r="J19" s="979"/>
      <c r="K19" s="979"/>
    </row>
    <row r="20" spans="2:14">
      <c r="B20" s="977" t="s">
        <v>389</v>
      </c>
      <c r="C20" s="977"/>
      <c r="D20" s="977"/>
      <c r="E20" s="977"/>
      <c r="F20" s="977"/>
      <c r="G20" s="977"/>
      <c r="H20" s="977"/>
      <c r="I20" s="977"/>
      <c r="J20" s="977"/>
      <c r="K20" s="977"/>
    </row>
    <row r="21" spans="2:14" ht="15.75" thickBot="1">
      <c r="B21" s="212"/>
      <c r="C21" s="212"/>
      <c r="D21" s="212"/>
      <c r="E21" s="212"/>
      <c r="F21" s="212"/>
      <c r="G21" s="212"/>
      <c r="H21" s="212"/>
      <c r="I21" s="212"/>
      <c r="J21" s="41"/>
      <c r="K21" s="41"/>
    </row>
    <row r="22" spans="2:14" ht="15.75" thickBot="1">
      <c r="B22" s="212"/>
      <c r="C22" s="3" t="s">
        <v>258</v>
      </c>
      <c r="D22" s="4"/>
      <c r="E22" s="5"/>
      <c r="F22" s="212"/>
      <c r="G22" s="41"/>
      <c r="H22" s="41"/>
      <c r="I22" s="41"/>
      <c r="J22" s="41"/>
      <c r="K22" s="41"/>
    </row>
    <row r="23" spans="2:14" ht="39" thickBot="1">
      <c r="B23" s="6" t="s">
        <v>26</v>
      </c>
      <c r="C23" s="8" t="s">
        <v>153</v>
      </c>
      <c r="D23" s="7" t="s">
        <v>157</v>
      </c>
      <c r="E23" s="10" t="s">
        <v>43</v>
      </c>
      <c r="F23" s="244" t="s">
        <v>152</v>
      </c>
      <c r="G23" s="41"/>
      <c r="H23" s="41"/>
      <c r="I23" s="41"/>
      <c r="J23" s="41"/>
      <c r="K23" s="41"/>
    </row>
    <row r="24" spans="2:14" ht="15.75" thickBot="1">
      <c r="B24" s="73" t="s">
        <v>5</v>
      </c>
      <c r="C24" s="74"/>
      <c r="D24" s="44"/>
      <c r="E24" s="45"/>
      <c r="F24" s="46"/>
      <c r="G24" s="550" t="s">
        <v>457</v>
      </c>
      <c r="H24" s="530"/>
      <c r="I24" s="530"/>
      <c r="J24" s="530"/>
      <c r="K24" s="41"/>
    </row>
    <row r="25" spans="2:14">
      <c r="B25" s="212"/>
      <c r="C25" s="212"/>
      <c r="D25" s="212"/>
      <c r="E25" s="212"/>
      <c r="F25" s="212"/>
      <c r="G25" s="212"/>
      <c r="H25" s="212"/>
      <c r="I25" s="212"/>
      <c r="J25" s="41"/>
      <c r="K25" s="41"/>
    </row>
    <row r="26" spans="2:14" ht="15.75">
      <c r="B26" s="206" t="s">
        <v>259</v>
      </c>
      <c r="C26" s="212"/>
      <c r="D26" s="212"/>
      <c r="E26" s="212"/>
      <c r="F26" s="212"/>
      <c r="G26" s="212"/>
      <c r="H26" s="212"/>
      <c r="I26" s="212"/>
      <c r="J26" s="41"/>
      <c r="K26" s="41"/>
    </row>
    <row r="27" spans="2:14" ht="30.75" customHeight="1">
      <c r="B27" s="974" t="s">
        <v>260</v>
      </c>
      <c r="C27" s="974"/>
      <c r="D27" s="974"/>
      <c r="E27" s="974"/>
      <c r="F27" s="974"/>
      <c r="G27" s="974"/>
      <c r="H27" s="974"/>
      <c r="I27" s="974"/>
      <c r="J27" s="974"/>
      <c r="K27" s="974"/>
    </row>
    <row r="28" spans="2:14" ht="15.75" thickBot="1">
      <c r="B28" s="212"/>
      <c r="C28" s="212"/>
      <c r="D28" s="212"/>
      <c r="E28" s="212"/>
      <c r="F28" s="212"/>
      <c r="G28" s="212"/>
      <c r="H28" s="212"/>
      <c r="I28" s="212"/>
      <c r="J28" s="41"/>
      <c r="K28" s="41"/>
    </row>
    <row r="29" spans="2:14" ht="54" customHeight="1" thickBot="1">
      <c r="B29" s="6" t="s">
        <v>26</v>
      </c>
      <c r="C29" s="15" t="s">
        <v>155</v>
      </c>
      <c r="D29" s="41"/>
      <c r="E29" s="975" t="s">
        <v>56</v>
      </c>
      <c r="F29" s="976"/>
      <c r="G29" s="766" t="s">
        <v>591</v>
      </c>
      <c r="H29" s="212"/>
      <c r="I29" s="975" t="s">
        <v>56</v>
      </c>
      <c r="J29" s="976"/>
      <c r="K29" s="766" t="s">
        <v>592</v>
      </c>
      <c r="M29" s="776" t="s">
        <v>593</v>
      </c>
      <c r="N29" s="15" t="s">
        <v>594</v>
      </c>
    </row>
    <row r="30" spans="2:14">
      <c r="B30" s="264" t="s">
        <v>261</v>
      </c>
      <c r="C30" s="270"/>
      <c r="D30" s="41"/>
      <c r="E30" s="960" t="s">
        <v>1</v>
      </c>
      <c r="F30" s="961"/>
      <c r="G30" s="239">
        <v>1</v>
      </c>
      <c r="H30" s="212"/>
      <c r="I30" s="960" t="s">
        <v>262</v>
      </c>
      <c r="J30" s="961"/>
      <c r="K30" s="20">
        <v>0.35</v>
      </c>
      <c r="M30" s="777" t="s">
        <v>595</v>
      </c>
      <c r="N30" s="778">
        <v>0.35</v>
      </c>
    </row>
    <row r="31" spans="2:14" ht="15.75" thickBot="1">
      <c r="B31" s="769" t="s">
        <v>587</v>
      </c>
      <c r="C31" s="271"/>
      <c r="D31" s="41"/>
      <c r="E31" s="968" t="s">
        <v>2</v>
      </c>
      <c r="F31" s="969"/>
      <c r="G31" s="241">
        <v>0.75</v>
      </c>
      <c r="H31" s="212"/>
      <c r="I31" s="970" t="s">
        <v>263</v>
      </c>
      <c r="J31" s="971"/>
      <c r="K31" s="22">
        <v>0.2</v>
      </c>
      <c r="M31" s="779" t="s">
        <v>596</v>
      </c>
      <c r="N31" s="780">
        <v>-0.35</v>
      </c>
    </row>
    <row r="32" spans="2:14">
      <c r="B32" s="266" t="s">
        <v>264</v>
      </c>
      <c r="C32" s="271"/>
      <c r="D32" s="41"/>
      <c r="E32" s="968" t="s">
        <v>57</v>
      </c>
      <c r="F32" s="969"/>
      <c r="G32" s="241">
        <v>0.5</v>
      </c>
      <c r="H32" s="212"/>
      <c r="I32" s="212"/>
      <c r="J32" s="41"/>
      <c r="K32" s="41"/>
    </row>
    <row r="33" spans="2:11" ht="15.75" thickBot="1">
      <c r="B33" s="266" t="s">
        <v>265</v>
      </c>
      <c r="C33" s="271"/>
      <c r="D33" s="41"/>
      <c r="E33" s="970" t="s">
        <v>4</v>
      </c>
      <c r="F33" s="971"/>
      <c r="G33" s="243">
        <v>0.35</v>
      </c>
      <c r="H33" s="212"/>
      <c r="I33" s="212"/>
      <c r="J33" s="41"/>
      <c r="K33" s="41"/>
    </row>
    <row r="34" spans="2:11">
      <c r="B34" s="267" t="s">
        <v>266</v>
      </c>
      <c r="C34" s="272"/>
      <c r="D34" s="41"/>
      <c r="E34" s="212"/>
      <c r="F34" s="212"/>
      <c r="G34" s="212"/>
      <c r="H34" s="212"/>
      <c r="I34" s="212"/>
      <c r="J34" s="41"/>
      <c r="K34" s="41"/>
    </row>
    <row r="35" spans="2:11">
      <c r="B35" s="267" t="s">
        <v>267</v>
      </c>
      <c r="C35" s="272"/>
      <c r="D35" s="41"/>
      <c r="F35" s="212"/>
      <c r="G35" s="212"/>
      <c r="H35" s="212"/>
      <c r="I35" s="212"/>
      <c r="J35" s="41"/>
      <c r="K35" s="41"/>
    </row>
    <row r="36" spans="2:11" ht="20.25">
      <c r="B36" s="267" t="s">
        <v>268</v>
      </c>
      <c r="C36" s="272"/>
      <c r="D36" s="41"/>
      <c r="E36" s="663"/>
      <c r="F36" s="41"/>
      <c r="G36" s="41"/>
      <c r="H36" s="41"/>
      <c r="I36" s="41"/>
      <c r="J36" s="41"/>
      <c r="K36" s="41"/>
    </row>
    <row r="37" spans="2:11" ht="15.75" thickBot="1">
      <c r="B37" s="275" t="s">
        <v>269</v>
      </c>
      <c r="C37" s="273" t="s">
        <v>473</v>
      </c>
      <c r="D37" s="41"/>
      <c r="E37" s="212"/>
      <c r="F37" s="212"/>
      <c r="G37" s="212"/>
      <c r="H37" s="212"/>
      <c r="I37" s="212"/>
      <c r="J37" s="41"/>
      <c r="K37" s="41"/>
    </row>
    <row r="38" spans="2:11" s="41" customFormat="1" ht="33" customHeight="1">
      <c r="B38" s="973" t="s">
        <v>681</v>
      </c>
      <c r="C38" s="973"/>
      <c r="E38" s="212"/>
      <c r="F38" s="212"/>
      <c r="G38" s="212"/>
      <c r="H38" s="212"/>
      <c r="I38" s="212"/>
    </row>
    <row r="39" spans="2:11" s="41" customFormat="1">
      <c r="B39" s="212"/>
      <c r="C39" s="212"/>
      <c r="D39" s="212"/>
      <c r="E39" s="212"/>
      <c r="F39" s="212"/>
      <c r="G39" s="212"/>
      <c r="H39" s="212"/>
      <c r="I39" s="212"/>
    </row>
    <row r="40" spans="2:11" s="41" customFormat="1" ht="15.75">
      <c r="B40" s="206" t="s">
        <v>270</v>
      </c>
      <c r="C40" s="212"/>
      <c r="D40" s="212"/>
      <c r="E40" s="212"/>
      <c r="F40" s="212"/>
      <c r="G40" s="212"/>
      <c r="H40" s="212"/>
      <c r="I40" s="212"/>
    </row>
    <row r="41" spans="2:11" s="41" customFormat="1" ht="27" customHeight="1">
      <c r="B41" s="972" t="s">
        <v>271</v>
      </c>
      <c r="C41" s="972"/>
      <c r="D41" s="972"/>
      <c r="E41" s="972"/>
      <c r="F41" s="972"/>
      <c r="G41" s="972"/>
      <c r="H41" s="972"/>
      <c r="I41" s="972"/>
      <c r="J41" s="972"/>
      <c r="K41" s="972"/>
    </row>
    <row r="42" spans="2:11" s="41" customFormat="1" ht="15.75" thickBot="1">
      <c r="B42" s="212"/>
      <c r="C42" s="212"/>
      <c r="D42" s="212"/>
      <c r="E42" s="212"/>
      <c r="F42" s="212"/>
      <c r="G42" s="212"/>
      <c r="H42" s="212"/>
      <c r="I42" s="212"/>
    </row>
    <row r="43" spans="2:11" s="41" customFormat="1" ht="15" customHeight="1" thickBot="1">
      <c r="B43" s="460" t="s">
        <v>395</v>
      </c>
      <c r="C43" s="459" t="s">
        <v>383</v>
      </c>
      <c r="D43" s="459" t="s">
        <v>384</v>
      </c>
      <c r="E43" s="459" t="s">
        <v>155</v>
      </c>
      <c r="F43" s="212"/>
      <c r="G43" s="212"/>
      <c r="H43" s="212"/>
      <c r="I43" s="212"/>
    </row>
    <row r="44" spans="2:11" s="41" customFormat="1" ht="15" customHeight="1" thickBot="1">
      <c r="B44" s="287" t="s">
        <v>391</v>
      </c>
      <c r="C44" s="288">
        <v>600000</v>
      </c>
      <c r="D44" s="288"/>
      <c r="E44" s="288">
        <f>+C44+D44</f>
        <v>600000</v>
      </c>
      <c r="F44" s="212"/>
      <c r="G44" s="212"/>
      <c r="H44" s="212"/>
      <c r="I44" s="212"/>
    </row>
    <row r="45" spans="2:11" s="41" customFormat="1" ht="15.75" thickBot="1">
      <c r="B45" s="212"/>
      <c r="C45" s="212"/>
      <c r="D45" s="212"/>
      <c r="E45" s="212"/>
      <c r="F45" s="212"/>
      <c r="G45" s="212"/>
      <c r="H45" s="212"/>
      <c r="I45" s="212"/>
    </row>
    <row r="46" spans="2:11" ht="26.25" customHeight="1" thickBot="1">
      <c r="B46" s="964" t="s">
        <v>390</v>
      </c>
      <c r="C46" s="965"/>
      <c r="D46" s="573" t="s">
        <v>383</v>
      </c>
      <c r="E46" s="573" t="s">
        <v>384</v>
      </c>
      <c r="F46" s="15" t="s">
        <v>155</v>
      </c>
      <c r="G46" s="212"/>
      <c r="H46" s="212"/>
      <c r="I46" s="212"/>
      <c r="J46" s="41"/>
      <c r="K46" s="41"/>
    </row>
    <row r="47" spans="2:11" s="41" customFormat="1">
      <c r="B47" s="966" t="s">
        <v>272</v>
      </c>
      <c r="C47" s="967"/>
      <c r="D47" s="276"/>
      <c r="E47" s="276"/>
      <c r="F47" s="276">
        <f>+D47+E47</f>
        <v>0</v>
      </c>
      <c r="G47" s="212"/>
      <c r="H47" s="212"/>
      <c r="I47" s="212"/>
    </row>
    <row r="48" spans="2:11" s="41" customFormat="1">
      <c r="B48" s="958" t="s">
        <v>273</v>
      </c>
      <c r="C48" s="959"/>
      <c r="D48" s="277"/>
      <c r="E48" s="277"/>
      <c r="F48" s="277">
        <f>+D48+E48</f>
        <v>0</v>
      </c>
      <c r="G48" s="212"/>
      <c r="H48" s="212"/>
      <c r="I48" s="212"/>
    </row>
    <row r="49" spans="2:11" s="41" customFormat="1" ht="15.75" thickBot="1">
      <c r="B49" s="962" t="s">
        <v>37</v>
      </c>
      <c r="C49" s="963"/>
      <c r="D49" s="278">
        <f>+D48-D47</f>
        <v>0</v>
      </c>
      <c r="E49" s="278">
        <f>+E48-E47</f>
        <v>0</v>
      </c>
      <c r="F49" s="278">
        <f>+F48-F47</f>
        <v>0</v>
      </c>
      <c r="G49" s="212"/>
      <c r="H49" s="212"/>
      <c r="I49" s="212"/>
    </row>
    <row r="50" spans="2:11" s="262" customFormat="1" ht="6" customHeight="1">
      <c r="B50" s="216"/>
      <c r="C50" s="279"/>
      <c r="E50" s="230"/>
      <c r="F50" s="230"/>
      <c r="G50" s="230"/>
      <c r="H50" s="230"/>
      <c r="I50" s="230"/>
    </row>
    <row r="51" spans="2:11" s="41" customFormat="1">
      <c r="B51" s="957" t="s">
        <v>274</v>
      </c>
      <c r="C51" s="957"/>
      <c r="D51" s="957"/>
      <c r="E51" s="957"/>
      <c r="F51" s="957"/>
      <c r="G51" s="957"/>
      <c r="H51" s="957"/>
      <c r="I51" s="957"/>
      <c r="J51" s="957"/>
      <c r="K51" s="957"/>
    </row>
  </sheetData>
  <mergeCells count="22">
    <mergeCell ref="B27:K27"/>
    <mergeCell ref="E29:F29"/>
    <mergeCell ref="I29:J29"/>
    <mergeCell ref="B20:K20"/>
    <mergeCell ref="B5:K5"/>
    <mergeCell ref="B6:K6"/>
    <mergeCell ref="B7:K7"/>
    <mergeCell ref="B8:K8"/>
    <mergeCell ref="B19:K19"/>
    <mergeCell ref="B51:K51"/>
    <mergeCell ref="B48:C48"/>
    <mergeCell ref="E30:F30"/>
    <mergeCell ref="I30:J30"/>
    <mergeCell ref="B49:C49"/>
    <mergeCell ref="B46:C46"/>
    <mergeCell ref="B47:C47"/>
    <mergeCell ref="E31:F31"/>
    <mergeCell ref="I31:J31"/>
    <mergeCell ref="E32:F32"/>
    <mergeCell ref="E33:F33"/>
    <mergeCell ref="B41:K41"/>
    <mergeCell ref="B38:C38"/>
  </mergeCells>
  <pageMargins left="0.70866141732283472" right="0.70866141732283472" top="0.74803149606299213" bottom="0.74803149606299213" header="0.31496062992125984" footer="0.31496062992125984"/>
  <pageSetup scale="56" orientation="landscape" verticalDpi="597"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G31"/>
  <sheetViews>
    <sheetView zoomScaleNormal="100" workbookViewId="0">
      <selection activeCell="D7" sqref="D7"/>
    </sheetView>
  </sheetViews>
  <sheetFormatPr baseColWidth="10" defaultRowHeight="15"/>
  <cols>
    <col min="1" max="1" width="4.7109375" customWidth="1"/>
    <col min="2" max="2" width="46.7109375" customWidth="1"/>
    <col min="3" max="3" width="16.7109375" customWidth="1"/>
    <col min="4" max="4" width="52.7109375" style="16" customWidth="1"/>
    <col min="5" max="5" width="39.5703125" style="16" bestFit="1" customWidth="1"/>
    <col min="6" max="16384" width="11.42578125" style="16"/>
  </cols>
  <sheetData>
    <row r="1" spans="1:7" s="262" customFormat="1">
      <c r="A1" s="41"/>
      <c r="B1" s="201" t="s">
        <v>230</v>
      </c>
      <c r="C1" s="41"/>
    </row>
    <row r="2" spans="1:7" s="262" customFormat="1">
      <c r="A2" s="41"/>
      <c r="B2" s="201" t="s">
        <v>275</v>
      </c>
      <c r="C2" s="41"/>
    </row>
    <row r="3" spans="1:7" s="262" customFormat="1">
      <c r="A3" s="41"/>
      <c r="B3" s="201" t="s">
        <v>276</v>
      </c>
      <c r="C3" s="212"/>
      <c r="D3" s="201" t="s">
        <v>598</v>
      </c>
    </row>
    <row r="4" spans="1:7" s="262" customFormat="1" ht="15.75" thickBot="1">
      <c r="A4" s="41"/>
      <c r="B4" s="201"/>
      <c r="C4" s="212"/>
    </row>
    <row r="5" spans="1:7" ht="15.75" thickBot="1">
      <c r="B5" s="6" t="s">
        <v>26</v>
      </c>
      <c r="C5" s="15" t="s">
        <v>155</v>
      </c>
      <c r="D5" s="851"/>
      <c r="E5" s="851"/>
      <c r="F5" s="782"/>
    </row>
    <row r="6" spans="1:7">
      <c r="A6" s="263"/>
      <c r="B6" s="264" t="s">
        <v>261</v>
      </c>
      <c r="C6" s="280">
        <v>37500000</v>
      </c>
      <c r="D6" s="303"/>
      <c r="E6" s="684" t="s">
        <v>460</v>
      </c>
      <c r="F6" s="551"/>
      <c r="G6" s="551"/>
    </row>
    <row r="7" spans="1:7">
      <c r="A7" s="265"/>
      <c r="B7" s="572" t="s">
        <v>587</v>
      </c>
      <c r="C7" s="986">
        <f>+C6*1.0078</f>
        <v>37792500</v>
      </c>
      <c r="D7" s="340" t="s">
        <v>649</v>
      </c>
      <c r="E7" s="552" t="s">
        <v>599</v>
      </c>
      <c r="F7" s="551"/>
      <c r="G7" s="551"/>
    </row>
    <row r="8" spans="1:7">
      <c r="A8" s="265"/>
      <c r="B8" s="266" t="s">
        <v>264</v>
      </c>
      <c r="C8" s="281">
        <v>37500000</v>
      </c>
      <c r="D8" s="552"/>
      <c r="E8" s="225" t="s">
        <v>647</v>
      </c>
      <c r="F8" s="868"/>
      <c r="G8" s="551"/>
    </row>
    <row r="9" spans="1:7">
      <c r="A9" s="265"/>
      <c r="B9" s="266" t="s">
        <v>265</v>
      </c>
      <c r="C9" s="281">
        <f>+C8*(1.04)</f>
        <v>39000000</v>
      </c>
      <c r="D9" s="552" t="s">
        <v>519</v>
      </c>
      <c r="E9" s="225" t="s">
        <v>461</v>
      </c>
      <c r="F9" s="553">
        <f>C7-C7*(4/(1.028))*((0.028*1.35-0.028))</f>
        <v>36351385.21400778</v>
      </c>
      <c r="G9" s="553">
        <f>F9-$C$7</f>
        <v>-1441114.78599222</v>
      </c>
    </row>
    <row r="10" spans="1:7">
      <c r="A10" s="265"/>
      <c r="B10" s="267" t="s">
        <v>521</v>
      </c>
      <c r="C10" s="281">
        <f>+C9-C8</f>
        <v>1500000</v>
      </c>
      <c r="D10" s="225" t="s">
        <v>650</v>
      </c>
      <c r="E10" s="225" t="s">
        <v>462</v>
      </c>
      <c r="F10" s="553">
        <f>C9-C9*(5.6/(1.038))*((0.038*1.5-0.038))</f>
        <v>35002312.138728328</v>
      </c>
      <c r="G10" s="553">
        <f>+F10-$C$9</f>
        <v>-3997687.861271672</v>
      </c>
    </row>
    <row r="11" spans="1:7">
      <c r="A11" s="265"/>
      <c r="B11" s="267" t="s">
        <v>522</v>
      </c>
      <c r="C11" s="281">
        <f>+C7-C6</f>
        <v>292500</v>
      </c>
      <c r="D11" s="225" t="s">
        <v>513</v>
      </c>
      <c r="E11" s="667" t="s">
        <v>463</v>
      </c>
      <c r="F11" s="262"/>
      <c r="G11" s="848"/>
    </row>
    <row r="12" spans="1:7">
      <c r="A12" s="265"/>
      <c r="B12" s="267" t="s">
        <v>266</v>
      </c>
      <c r="C12" s="281">
        <f>+C10-C11</f>
        <v>1207500</v>
      </c>
      <c r="E12" s="225" t="s">
        <v>600</v>
      </c>
      <c r="F12" s="262"/>
    </row>
    <row r="13" spans="1:7">
      <c r="A13" s="265"/>
      <c r="B13" s="267" t="s">
        <v>277</v>
      </c>
      <c r="C13" s="282">
        <f>+G9-G10</f>
        <v>2556573.0752794519</v>
      </c>
      <c r="D13" s="781"/>
      <c r="E13" s="225" t="s">
        <v>648</v>
      </c>
      <c r="F13" s="262"/>
    </row>
    <row r="14" spans="1:7">
      <c r="A14" s="265"/>
      <c r="B14" s="267" t="s">
        <v>278</v>
      </c>
      <c r="C14" s="282">
        <f>+G14-G15</f>
        <v>-157960.35851644725</v>
      </c>
      <c r="D14" s="781"/>
      <c r="E14" s="225" t="s">
        <v>461</v>
      </c>
      <c r="F14" s="553">
        <f>C7-C7*(4/(1.028))*((0.028*0.65-0.028))</f>
        <v>39233614.78599222</v>
      </c>
      <c r="G14" s="553">
        <f>F14-$C$7</f>
        <v>1441114.78599222</v>
      </c>
    </row>
    <row r="15" spans="1:7" s="262" customFormat="1" ht="15.75" thickBot="1">
      <c r="A15" s="41"/>
      <c r="B15" s="275" t="s">
        <v>269</v>
      </c>
      <c r="C15" s="283">
        <f>MAX(C14,C13,0)</f>
        <v>2556573.0752794519</v>
      </c>
      <c r="E15" s="552" t="s">
        <v>462</v>
      </c>
      <c r="F15" s="553">
        <f>C9-C9*(5.6/(1.038))*((0.038*0.8-0.038))</f>
        <v>40599075.144508667</v>
      </c>
      <c r="G15" s="553">
        <f>+F15-$C$9</f>
        <v>1599075.1445086673</v>
      </c>
    </row>
    <row r="16" spans="1:7" s="262" customFormat="1" ht="3" customHeight="1">
      <c r="A16" s="41"/>
      <c r="B16" s="284"/>
      <c r="C16" s="285"/>
      <c r="D16" s="552"/>
    </row>
    <row r="17" spans="1:3" ht="26.25" customHeight="1">
      <c r="B17" s="973" t="s">
        <v>681</v>
      </c>
      <c r="C17" s="973"/>
    </row>
    <row r="18" spans="1:3" ht="15.75" thickBot="1">
      <c r="B18" s="211"/>
      <c r="C18" s="211"/>
    </row>
    <row r="19" spans="1:3" ht="39" thickBot="1">
      <c r="B19" s="23" t="s">
        <v>597</v>
      </c>
      <c r="C19" s="766" t="s">
        <v>591</v>
      </c>
    </row>
    <row r="20" spans="1:3">
      <c r="B20" s="238" t="s">
        <v>1</v>
      </c>
      <c r="C20" s="20">
        <v>1</v>
      </c>
    </row>
    <row r="21" spans="1:3">
      <c r="B21" s="240" t="s">
        <v>2</v>
      </c>
      <c r="C21" s="21">
        <v>0.75</v>
      </c>
    </row>
    <row r="22" spans="1:3" s="262" customFormat="1">
      <c r="A22" s="41"/>
      <c r="B22" s="240" t="s">
        <v>57</v>
      </c>
      <c r="C22" s="21">
        <v>0.5</v>
      </c>
    </row>
    <row r="23" spans="1:3" ht="15.75" thickBot="1">
      <c r="B23" s="242" t="s">
        <v>4</v>
      </c>
      <c r="C23" s="22">
        <v>0.35</v>
      </c>
    </row>
    <row r="24" spans="1:3" ht="15.75" thickBot="1">
      <c r="B24" s="212"/>
      <c r="C24" s="212"/>
    </row>
    <row r="25" spans="1:3" ht="39" thickBot="1">
      <c r="B25" s="23" t="s">
        <v>597</v>
      </c>
      <c r="C25" s="766" t="s">
        <v>592</v>
      </c>
    </row>
    <row r="26" spans="1:3">
      <c r="B26" s="238" t="s">
        <v>262</v>
      </c>
      <c r="C26" s="20">
        <v>0.35</v>
      </c>
    </row>
    <row r="27" spans="1:3" ht="15.75" thickBot="1">
      <c r="B27" s="242" t="s">
        <v>263</v>
      </c>
      <c r="C27" s="22">
        <v>0.2</v>
      </c>
    </row>
    <row r="28" spans="1:3" ht="15.75" thickBot="1"/>
    <row r="29" spans="1:3" ht="51.75" thickBot="1">
      <c r="B29" s="776" t="s">
        <v>593</v>
      </c>
      <c r="C29" s="15" t="s">
        <v>594</v>
      </c>
    </row>
    <row r="30" spans="1:3">
      <c r="B30" s="767" t="s">
        <v>595</v>
      </c>
      <c r="C30" s="778">
        <v>0.35</v>
      </c>
    </row>
    <row r="31" spans="1:3" ht="15.75" thickBot="1">
      <c r="B31" s="768" t="s">
        <v>596</v>
      </c>
      <c r="C31" s="780">
        <v>-0.35</v>
      </c>
    </row>
  </sheetData>
  <mergeCells count="1">
    <mergeCell ref="B17:C17"/>
  </mergeCells>
  <pageMargins left="0.7" right="0.7" top="0.75" bottom="0.75" header="0.3" footer="0.3"/>
  <pageSetup orientation="portrait" verticalDpi="597"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pageSetUpPr fitToPage="1"/>
  </sheetPr>
  <dimension ref="B1:G27"/>
  <sheetViews>
    <sheetView zoomScaleNormal="100" workbookViewId="0">
      <selection activeCell="C8" sqref="C8"/>
    </sheetView>
  </sheetViews>
  <sheetFormatPr baseColWidth="10" defaultRowHeight="15"/>
  <cols>
    <col min="1" max="1" width="4.7109375" customWidth="1"/>
    <col min="2" max="2" width="88.7109375" customWidth="1"/>
    <col min="3" max="7" width="12.7109375" customWidth="1"/>
    <col min="8" max="9" width="16.7109375" customWidth="1"/>
  </cols>
  <sheetData>
    <row r="1" spans="2:7">
      <c r="B1" s="201" t="s">
        <v>230</v>
      </c>
      <c r="C1" s="303"/>
      <c r="D1" s="303"/>
      <c r="E1" s="303"/>
      <c r="F1" s="303"/>
      <c r="G1" s="303"/>
    </row>
    <row r="2" spans="2:7">
      <c r="B2" s="201" t="s">
        <v>477</v>
      </c>
      <c r="C2" s="303"/>
      <c r="D2" s="303"/>
      <c r="E2" s="303"/>
      <c r="F2" s="303"/>
      <c r="G2" s="303"/>
    </row>
    <row r="3" spans="2:7" ht="15.75" thickBot="1">
      <c r="B3" s="303"/>
      <c r="C3" s="303"/>
      <c r="D3" s="303"/>
      <c r="E3" s="303"/>
      <c r="F3" s="303"/>
      <c r="G3" s="303"/>
    </row>
    <row r="4" spans="2:7" ht="16.5" customHeight="1" thickBot="1">
      <c r="B4" s="460" t="s">
        <v>495</v>
      </c>
      <c r="C4" s="650" t="s">
        <v>383</v>
      </c>
      <c r="D4" s="650" t="s">
        <v>384</v>
      </c>
      <c r="E4" s="650" t="s">
        <v>155</v>
      </c>
      <c r="F4" s="303"/>
      <c r="G4" s="303"/>
    </row>
    <row r="5" spans="2:7" ht="16.5" customHeight="1" thickBot="1">
      <c r="B5" s="673" t="s">
        <v>391</v>
      </c>
      <c r="C5" s="674">
        <v>2500000</v>
      </c>
      <c r="D5" s="674">
        <v>500000</v>
      </c>
      <c r="E5" s="675">
        <v>0</v>
      </c>
      <c r="F5" s="303"/>
      <c r="G5" s="303"/>
    </row>
    <row r="6" spans="2:7" ht="15.75" thickBot="1">
      <c r="B6" s="303"/>
      <c r="C6" s="303"/>
      <c r="D6" s="303"/>
      <c r="E6" s="303"/>
      <c r="F6" s="303"/>
      <c r="G6" s="303"/>
    </row>
    <row r="7" spans="2:7" ht="16.5" customHeight="1" thickBot="1">
      <c r="B7" s="6" t="s">
        <v>496</v>
      </c>
      <c r="C7" s="650" t="s">
        <v>383</v>
      </c>
      <c r="D7" s="650" t="s">
        <v>384</v>
      </c>
      <c r="E7" s="650" t="s">
        <v>155</v>
      </c>
      <c r="F7" s="303"/>
      <c r="G7" s="303"/>
    </row>
    <row r="8" spans="2:7" ht="16.5" customHeight="1">
      <c r="B8" s="770" t="s">
        <v>588</v>
      </c>
      <c r="C8" s="985">
        <f>+'Cap IV CBR 4.1 Activos RF R Mat'!C7</f>
        <v>37792500</v>
      </c>
      <c r="D8" s="676"/>
      <c r="E8" s="677">
        <f>+C8+D8</f>
        <v>37792500</v>
      </c>
      <c r="F8" s="303"/>
      <c r="G8" s="303"/>
    </row>
    <row r="9" spans="2:7" ht="16.5" customHeight="1">
      <c r="B9" s="411" t="s">
        <v>615</v>
      </c>
      <c r="C9" s="678">
        <f>+C8*1.05</f>
        <v>39682125</v>
      </c>
      <c r="D9" s="678"/>
      <c r="E9" s="679">
        <f>+C9+D9</f>
        <v>39682125</v>
      </c>
      <c r="F9" s="303"/>
      <c r="G9" s="303"/>
    </row>
    <row r="10" spans="2:7" ht="16.5" customHeight="1" thickBot="1">
      <c r="B10" s="673" t="s">
        <v>520</v>
      </c>
      <c r="C10" s="674">
        <f t="shared" ref="C10:D10" si="0">C9-C8</f>
        <v>1889625</v>
      </c>
      <c r="D10" s="674">
        <f t="shared" si="0"/>
        <v>0</v>
      </c>
      <c r="E10" s="675">
        <f>E9-E8</f>
        <v>1889625</v>
      </c>
      <c r="F10" s="680"/>
      <c r="G10" s="303"/>
    </row>
    <row r="11" spans="2:7" ht="3.75" customHeight="1">
      <c r="B11" s="303"/>
      <c r="C11" s="303"/>
      <c r="D11" s="303"/>
      <c r="E11" s="303"/>
      <c r="F11" s="303"/>
      <c r="G11" s="303"/>
    </row>
    <row r="12" spans="2:7" ht="15" customHeight="1">
      <c r="B12" s="980" t="s">
        <v>682</v>
      </c>
      <c r="C12" s="980"/>
      <c r="D12" s="980"/>
      <c r="E12" s="980"/>
      <c r="F12" s="303"/>
      <c r="G12" s="303"/>
    </row>
    <row r="13" spans="2:7">
      <c r="B13" s="980"/>
      <c r="C13" s="980"/>
      <c r="D13" s="980"/>
      <c r="E13" s="980"/>
      <c r="F13" s="303"/>
      <c r="G13" s="303"/>
    </row>
    <row r="14" spans="2:7" ht="15.75" thickBot="1">
      <c r="B14" s="303"/>
      <c r="C14" s="303"/>
      <c r="D14" s="303"/>
      <c r="E14" s="303"/>
      <c r="F14" s="303"/>
      <c r="G14" s="303"/>
    </row>
    <row r="15" spans="2:7" ht="16.5" customHeight="1" thickBot="1">
      <c r="B15" s="460" t="s">
        <v>497</v>
      </c>
      <c r="C15" s="650" t="s">
        <v>155</v>
      </c>
      <c r="D15" s="303"/>
      <c r="E15" s="303"/>
      <c r="F15" s="303"/>
      <c r="G15" s="303"/>
    </row>
    <row r="16" spans="2:7" ht="16.5" customHeight="1" thickBot="1">
      <c r="B16" s="673" t="s">
        <v>394</v>
      </c>
      <c r="C16" s="675">
        <f>+'Cap IV CBR RT Salud y AP'!E12</f>
        <v>1288312.8550127605</v>
      </c>
      <c r="D16" s="303"/>
      <c r="E16" s="303"/>
      <c r="F16" s="303"/>
      <c r="G16" s="303"/>
    </row>
    <row r="17" spans="2:7">
      <c r="B17" s="303"/>
      <c r="C17" s="303"/>
      <c r="D17" s="303"/>
      <c r="E17" s="303"/>
      <c r="F17" s="303"/>
      <c r="G17" s="303"/>
    </row>
    <row r="18" spans="2:7" ht="15.75" thickBot="1">
      <c r="B18" s="303"/>
      <c r="C18" s="303"/>
      <c r="D18" s="303"/>
      <c r="E18" s="303"/>
      <c r="F18" s="303"/>
      <c r="G18" s="303"/>
    </row>
    <row r="19" spans="2:7" ht="16.5" customHeight="1" thickBot="1">
      <c r="B19" s="212"/>
      <c r="C19" s="3" t="s">
        <v>279</v>
      </c>
      <c r="D19" s="4"/>
      <c r="E19" s="4"/>
      <c r="F19" s="5"/>
      <c r="G19" s="212"/>
    </row>
    <row r="20" spans="2:7" ht="16.5" customHeight="1" thickBot="1">
      <c r="B20" s="6" t="s">
        <v>280</v>
      </c>
      <c r="C20" s="8">
        <v>1</v>
      </c>
      <c r="D20" s="7">
        <v>2</v>
      </c>
      <c r="E20" s="7">
        <v>3</v>
      </c>
      <c r="F20" s="10" t="s">
        <v>172</v>
      </c>
      <c r="G20" s="650" t="s">
        <v>155</v>
      </c>
    </row>
    <row r="21" spans="2:7" ht="16.5" customHeight="1">
      <c r="B21" s="62" t="s">
        <v>42</v>
      </c>
      <c r="C21" s="121" t="s">
        <v>514</v>
      </c>
      <c r="D21" s="49"/>
      <c r="E21" s="49"/>
      <c r="F21" s="50"/>
      <c r="G21" s="63"/>
    </row>
    <row r="22" spans="2:7" ht="16.5" customHeight="1">
      <c r="B22" s="64" t="s">
        <v>62</v>
      </c>
      <c r="C22" s="52">
        <v>10000000</v>
      </c>
      <c r="D22" s="53"/>
      <c r="E22" s="53"/>
      <c r="F22" s="54"/>
      <c r="G22" s="65">
        <f>SUM(C22:F22)</f>
        <v>10000000</v>
      </c>
    </row>
    <row r="23" spans="2:7" ht="16.5" customHeight="1">
      <c r="B23" s="64" t="s">
        <v>64</v>
      </c>
      <c r="C23" s="52">
        <v>2000000</v>
      </c>
      <c r="D23" s="53"/>
      <c r="E23" s="53"/>
      <c r="F23" s="54"/>
      <c r="G23" s="65">
        <f t="shared" ref="G23:G24" si="1">SUM(C23:F23)</f>
        <v>2000000</v>
      </c>
    </row>
    <row r="24" spans="2:7" ht="16.5" customHeight="1">
      <c r="B24" s="64" t="s">
        <v>65</v>
      </c>
      <c r="C24" s="52">
        <v>1500000</v>
      </c>
      <c r="D24" s="53"/>
      <c r="E24" s="53"/>
      <c r="F24" s="54"/>
      <c r="G24" s="65">
        <f t="shared" si="1"/>
        <v>1500000</v>
      </c>
    </row>
    <row r="25" spans="2:7" ht="16.5" customHeight="1" thickBot="1">
      <c r="B25" s="73" t="s">
        <v>63</v>
      </c>
      <c r="C25" s="74">
        <f>+C23-C24</f>
        <v>500000</v>
      </c>
      <c r="D25" s="44"/>
      <c r="E25" s="44"/>
      <c r="F25" s="45"/>
      <c r="G25" s="46">
        <f>MAX(C25:F25)</f>
        <v>500000</v>
      </c>
    </row>
    <row r="26" spans="2:7" ht="3" customHeight="1">
      <c r="B26" s="212"/>
      <c r="C26" s="212"/>
      <c r="D26" s="212"/>
      <c r="E26" s="212"/>
      <c r="F26" s="212"/>
      <c r="G26" s="212"/>
    </row>
    <row r="27" spans="2:7">
      <c r="B27" s="220" t="s">
        <v>281</v>
      </c>
      <c r="C27" s="212"/>
      <c r="D27" s="212"/>
      <c r="E27" s="212"/>
      <c r="F27" s="212"/>
      <c r="G27" s="212"/>
    </row>
  </sheetData>
  <mergeCells count="1">
    <mergeCell ref="B12:E13"/>
  </mergeCells>
  <pageMargins left="0.70866141732283472" right="0.70866141732283472" top="0.74803149606299213" bottom="0.74803149606299213" header="0.31496062992125984" footer="0.31496062992125984"/>
  <pageSetup scale="69" orientation="landscape" horizontalDpi="4294967295" verticalDpi="4294967295"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F29"/>
  <sheetViews>
    <sheetView showGridLines="0" zoomScaleNormal="100" workbookViewId="0">
      <selection activeCell="C12" sqref="C12"/>
    </sheetView>
  </sheetViews>
  <sheetFormatPr baseColWidth="10" defaultRowHeight="12.75"/>
  <cols>
    <col min="1" max="1" width="4.7109375" style="303" customWidth="1"/>
    <col min="2" max="2" width="36.7109375" style="303" customWidth="1"/>
    <col min="3" max="3" width="18.5703125" style="303" bestFit="1" customWidth="1"/>
    <col min="4" max="4" width="18.140625" style="303" bestFit="1" customWidth="1"/>
    <col min="5" max="5" width="19.85546875" style="303" customWidth="1"/>
    <col min="6" max="6" width="17.5703125" style="303" bestFit="1" customWidth="1"/>
    <col min="7" max="7" width="15.140625" style="303" bestFit="1" customWidth="1"/>
    <col min="8" max="8" width="17.28515625" style="303" bestFit="1" customWidth="1"/>
    <col min="9" max="11" width="10.7109375" style="303" customWidth="1"/>
    <col min="12" max="12" width="13.85546875" style="303" customWidth="1"/>
    <col min="13" max="13" width="15.85546875" style="303" customWidth="1"/>
    <col min="14" max="14" width="18" style="303" customWidth="1"/>
    <col min="15" max="15" width="13.42578125" style="303" customWidth="1"/>
    <col min="16" max="16" width="13.140625" style="303" customWidth="1"/>
    <col min="17" max="17" width="11.42578125" style="303"/>
    <col min="18" max="18" width="13.7109375" style="303" customWidth="1"/>
    <col min="19" max="19" width="15.140625" style="303" customWidth="1"/>
    <col min="20" max="20" width="17.140625" style="303" customWidth="1"/>
    <col min="21" max="21" width="14.7109375" style="303" customWidth="1"/>
    <col min="22" max="22" width="17" style="303" customWidth="1"/>
    <col min="23" max="24" width="11.42578125" style="303"/>
    <col min="25" max="25" width="12.5703125" style="303" bestFit="1" customWidth="1"/>
    <col min="26" max="26" width="12.42578125" style="303" bestFit="1" customWidth="1"/>
    <col min="27" max="27" width="11.5703125" style="303" bestFit="1" customWidth="1"/>
    <col min="28" max="29" width="12.42578125" style="303" bestFit="1" customWidth="1"/>
    <col min="30" max="30" width="11.5703125" style="303" bestFit="1" customWidth="1"/>
    <col min="31" max="33" width="12.42578125" style="303" bestFit="1" customWidth="1"/>
    <col min="34" max="16384" width="11.42578125" style="303"/>
  </cols>
  <sheetData>
    <row r="1" spans="2:6">
      <c r="B1" s="224" t="s">
        <v>230</v>
      </c>
    </row>
    <row r="2" spans="2:6">
      <c r="B2" s="224" t="s">
        <v>636</v>
      </c>
    </row>
    <row r="3" spans="2:6" ht="13.5" thickBot="1"/>
    <row r="4" spans="2:6" ht="16.5" customHeight="1" thickBot="1">
      <c r="B4" s="792" t="s">
        <v>497</v>
      </c>
      <c r="C4" s="792"/>
      <c r="D4" s="792"/>
    </row>
    <row r="5" spans="2:6" ht="36" customHeight="1" thickBot="1">
      <c r="B5" s="793" t="s">
        <v>616</v>
      </c>
      <c r="C5" s="794" t="s">
        <v>617</v>
      </c>
      <c r="D5" s="795" t="s">
        <v>618</v>
      </c>
      <c r="E5" s="796" t="s">
        <v>619</v>
      </c>
      <c r="F5" s="797" t="s">
        <v>620</v>
      </c>
    </row>
    <row r="6" spans="2:6" ht="16.5" customHeight="1">
      <c r="B6" s="815" t="s">
        <v>621</v>
      </c>
      <c r="C6" s="816">
        <f>6600000/10</f>
        <v>660000</v>
      </c>
      <c r="D6" s="816">
        <f>1014223.35933032/10</f>
        <v>101422.33593303201</v>
      </c>
      <c r="E6" s="817">
        <v>1</v>
      </c>
      <c r="F6" s="818">
        <f>+IFERROR(SQRT((C25*E6*C6)^2+2*0.5*C25*E6*D25*C6*D6+(D25*D6)^2)/(C6+D6),0)</f>
        <v>0.14518476319448778</v>
      </c>
    </row>
    <row r="7" spans="2:6" ht="16.5" customHeight="1" thickBot="1">
      <c r="B7" s="819" t="s">
        <v>622</v>
      </c>
      <c r="C7" s="820">
        <f>28600000/10</f>
        <v>2860000</v>
      </c>
      <c r="D7" s="820">
        <f>13921253.7313433/10</f>
        <v>1392125.3731343299</v>
      </c>
      <c r="E7" s="821">
        <v>1</v>
      </c>
      <c r="F7" s="822">
        <f>+IFERROR(SQRT((C26*E7*C7)^2+2*0.5*C26*E7*D26*C7*D7+(D26*D7)^2)/(C7+D7),0)</f>
        <v>0.14288491035471471</v>
      </c>
    </row>
    <row r="8" spans="2:6">
      <c r="C8" s="798"/>
      <c r="D8" s="798"/>
    </row>
    <row r="9" spans="2:6" ht="13.5" thickBot="1"/>
    <row r="10" spans="2:6" ht="16.5" customHeight="1" thickBot="1">
      <c r="B10" s="792" t="s">
        <v>497</v>
      </c>
      <c r="C10" s="792"/>
      <c r="D10" s="792"/>
    </row>
    <row r="11" spans="2:6" ht="16.5" customHeight="1" thickBot="1">
      <c r="B11" s="792" t="s">
        <v>26</v>
      </c>
      <c r="C11" s="799" t="s">
        <v>623</v>
      </c>
      <c r="D11" s="800" t="s">
        <v>624</v>
      </c>
      <c r="E11" s="799" t="s">
        <v>625</v>
      </c>
    </row>
    <row r="12" spans="2:6" ht="16.5" customHeight="1" thickBot="1">
      <c r="B12" s="823" t="s">
        <v>626</v>
      </c>
      <c r="C12" s="824">
        <f>+SUM(C6:D7)</f>
        <v>5013547.7090673614</v>
      </c>
      <c r="D12" s="825">
        <v>0.12848315502042137</v>
      </c>
      <c r="E12" s="826">
        <f>2*D12*C12</f>
        <v>1288312.8550127605</v>
      </c>
    </row>
    <row r="13" spans="2:6" ht="16.5" customHeight="1">
      <c r="B13" s="801" t="s">
        <v>627</v>
      </c>
    </row>
    <row r="16" spans="2:6" ht="13.5" thickBot="1">
      <c r="B16" s="303" t="s">
        <v>628</v>
      </c>
    </row>
    <row r="17" spans="2:4" ht="13.5" thickBot="1">
      <c r="B17" s="802" t="s">
        <v>629</v>
      </c>
      <c r="C17" s="803" t="s">
        <v>630</v>
      </c>
      <c r="D17" s="804" t="s">
        <v>631</v>
      </c>
    </row>
    <row r="18" spans="2:4">
      <c r="B18" s="805" t="s">
        <v>621</v>
      </c>
      <c r="C18" s="805">
        <v>1</v>
      </c>
      <c r="D18" s="806">
        <v>0.25</v>
      </c>
    </row>
    <row r="19" spans="2:4" ht="13.5" thickBot="1">
      <c r="B19" s="807" t="s">
        <v>622</v>
      </c>
      <c r="C19" s="807">
        <v>0.25</v>
      </c>
      <c r="D19" s="808">
        <v>1</v>
      </c>
    </row>
    <row r="23" spans="2:4" ht="13.5" thickBot="1">
      <c r="B23" s="303" t="s">
        <v>632</v>
      </c>
    </row>
    <row r="24" spans="2:4" ht="13.5" thickBot="1">
      <c r="B24" s="803" t="s">
        <v>633</v>
      </c>
      <c r="C24" s="803" t="s">
        <v>634</v>
      </c>
      <c r="D24" s="804" t="s">
        <v>635</v>
      </c>
    </row>
    <row r="25" spans="2:4">
      <c r="B25" s="805" t="s">
        <v>621</v>
      </c>
      <c r="C25" s="809">
        <v>0.15</v>
      </c>
      <c r="D25" s="810">
        <v>0.2</v>
      </c>
    </row>
    <row r="26" spans="2:4" ht="13.5" thickBot="1">
      <c r="B26" s="807" t="s">
        <v>622</v>
      </c>
      <c r="C26" s="811">
        <v>0.17</v>
      </c>
      <c r="D26" s="812">
        <v>0.14000000000000001</v>
      </c>
    </row>
    <row r="27" spans="2:4">
      <c r="B27" s="813"/>
      <c r="C27" s="814"/>
      <c r="D27" s="814"/>
    </row>
    <row r="28" spans="2:4">
      <c r="B28" s="813"/>
      <c r="C28" s="814"/>
      <c r="D28" s="814"/>
    </row>
    <row r="29" spans="2:4">
      <c r="B29" s="813"/>
      <c r="C29" s="814"/>
      <c r="D29" s="814"/>
    </row>
  </sheetData>
  <pageMargins left="0.39370078740157483" right="0.39370078740157483" top="0.74803149606299213" bottom="0.74803149606299213" header="0.31496062992125984" footer="0.31496062992125984"/>
  <pageSetup paperSize="9" scale="69" orientation="landscape" horizontalDpi="4294967295" verticalDpi="4294967295"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N18"/>
  <sheetViews>
    <sheetView showGridLines="0" zoomScaleNormal="100" workbookViewId="0">
      <selection activeCell="C9" sqref="C9"/>
    </sheetView>
  </sheetViews>
  <sheetFormatPr baseColWidth="10" defaultRowHeight="15"/>
  <cols>
    <col min="1" max="1" width="2.7109375" customWidth="1"/>
    <col min="2" max="6" width="14.7109375" customWidth="1"/>
    <col min="7" max="14" width="12.7109375" customWidth="1"/>
  </cols>
  <sheetData>
    <row r="1" spans="2:14" s="41" customFormat="1" ht="15.75">
      <c r="B1" s="206" t="s">
        <v>230</v>
      </c>
      <c r="C1" s="217"/>
      <c r="D1" s="217"/>
      <c r="E1" s="217"/>
      <c r="F1" s="217"/>
      <c r="G1" s="217"/>
      <c r="H1" s="217"/>
      <c r="I1" s="217"/>
      <c r="J1" s="217"/>
      <c r="K1" s="217"/>
      <c r="L1" s="217"/>
    </row>
    <row r="2" spans="2:14" s="41" customFormat="1" ht="15.75">
      <c r="B2" s="366" t="s">
        <v>413</v>
      </c>
      <c r="C2" s="224"/>
      <c r="D2" s="224"/>
      <c r="E2" s="201"/>
      <c r="F2" s="212"/>
      <c r="G2" s="212"/>
      <c r="H2" s="212"/>
      <c r="I2" s="212"/>
      <c r="J2" s="212"/>
      <c r="K2" s="212"/>
      <c r="L2" s="212"/>
      <c r="M2" s="212"/>
      <c r="N2" s="211"/>
    </row>
    <row r="3" spans="2:14" ht="15.75" thickBot="1">
      <c r="B3" s="512"/>
      <c r="C3" s="513"/>
      <c r="D3" s="513"/>
      <c r="E3" s="513"/>
      <c r="F3" s="513"/>
      <c r="G3" s="513"/>
      <c r="H3" s="513"/>
      <c r="I3" s="513"/>
      <c r="J3" s="514"/>
      <c r="K3" s="514"/>
      <c r="L3" s="514"/>
      <c r="M3" s="143"/>
      <c r="N3" s="142"/>
    </row>
    <row r="4" spans="2:14">
      <c r="B4" s="465" t="s">
        <v>414</v>
      </c>
      <c r="C4" s="853">
        <f>+'Cap IV Resumen R.Tecnicos (CSV)'!C6</f>
        <v>41675477.078954846</v>
      </c>
      <c r="D4" s="2"/>
      <c r="E4" s="2"/>
      <c r="F4" s="2"/>
      <c r="G4" s="514"/>
      <c r="H4" s="514"/>
      <c r="I4" s="514"/>
      <c r="J4" s="514"/>
      <c r="K4" s="2"/>
      <c r="L4" s="514"/>
      <c r="M4" s="143"/>
      <c r="N4" s="144"/>
    </row>
    <row r="5" spans="2:14">
      <c r="B5" s="467" t="s">
        <v>415</v>
      </c>
      <c r="C5" s="679">
        <f>+'Cap IV Resumen R.Tecnicos (CSV)'!E6+'Cap IV Resumen R.Tecnicos (CSV)'!G6+'Cap IV Resumen R.Tecnicos (CSV)'!J6</f>
        <v>4989625</v>
      </c>
      <c r="D5" s="512"/>
      <c r="E5" s="512"/>
      <c r="F5" s="512"/>
      <c r="G5" s="2"/>
      <c r="H5" s="2"/>
      <c r="I5" s="2"/>
      <c r="J5" s="514"/>
      <c r="K5" s="514"/>
      <c r="L5" s="514"/>
      <c r="M5" s="143"/>
      <c r="N5" s="142"/>
    </row>
    <row r="6" spans="2:14">
      <c r="B6" s="467" t="s">
        <v>416</v>
      </c>
      <c r="C6" s="679">
        <f>+'Cap IV Resumen R.Tecnicos (CSV)'!F6+'Cap IV Resumen R.Tecnicos (CSV)'!H6+'Cap IV Resumen R.Tecnicos (CSV)'!K6+'Cap IV Resumen R.Tecnicos (CSV)'!I6+'Cap IV Resumen R.Tecnicos (CSV)'!D6</f>
        <v>7292824.8519677995</v>
      </c>
      <c r="D6" s="649"/>
      <c r="E6" s="2"/>
      <c r="F6" s="2"/>
      <c r="G6" s="2"/>
      <c r="H6" s="2"/>
      <c r="I6" s="2"/>
      <c r="J6" s="2"/>
      <c r="K6" s="2"/>
      <c r="L6" s="2"/>
    </row>
    <row r="7" spans="2:14">
      <c r="B7" s="467" t="s">
        <v>417</v>
      </c>
      <c r="C7" s="679">
        <f>+'Cap IV Resumen R.Tecnicos (CSV)'!L6</f>
        <v>500000</v>
      </c>
      <c r="D7" s="2"/>
      <c r="E7" s="2"/>
      <c r="F7" s="2"/>
      <c r="G7" s="2"/>
      <c r="H7" s="2"/>
      <c r="I7" s="2"/>
      <c r="J7" s="2"/>
      <c r="K7" s="2"/>
      <c r="L7" s="2"/>
    </row>
    <row r="8" spans="2:14" ht="15.75" thickBot="1">
      <c r="B8" s="468" t="s">
        <v>218</v>
      </c>
      <c r="C8" s="854">
        <f>SUM(C4:C7)</f>
        <v>54457926.930922642</v>
      </c>
      <c r="D8" s="515"/>
      <c r="E8" s="2"/>
      <c r="F8" s="2"/>
      <c r="G8" s="2"/>
      <c r="H8" s="2"/>
      <c r="I8" s="2"/>
      <c r="J8" s="2"/>
      <c r="K8" s="2"/>
      <c r="L8" s="2"/>
    </row>
    <row r="9" spans="2:14" ht="15.75" thickBot="1">
      <c r="B9" s="470" t="s">
        <v>403</v>
      </c>
      <c r="C9" s="471">
        <f>SQRT(MMULT(I15:L15,C4:C7))</f>
        <v>43200013.084524117</v>
      </c>
      <c r="E9" s="2"/>
      <c r="F9" s="2"/>
      <c r="G9" s="2"/>
      <c r="H9" s="2"/>
      <c r="I9" s="2"/>
      <c r="J9" s="2"/>
      <c r="K9" s="2"/>
      <c r="L9" s="2"/>
    </row>
    <row r="10" spans="2:14" ht="15.75" thickBot="1">
      <c r="B10" s="464" t="s">
        <v>406</v>
      </c>
      <c r="C10" s="491">
        <f>+C8-C9</f>
        <v>11257913.846398525</v>
      </c>
      <c r="D10" s="681"/>
      <c r="E10" s="649"/>
      <c r="F10" s="2"/>
      <c r="G10" s="2"/>
      <c r="H10" s="2"/>
      <c r="I10" s="2"/>
      <c r="J10" s="2"/>
      <c r="K10" s="2"/>
      <c r="L10" s="2"/>
    </row>
    <row r="11" spans="2:14">
      <c r="B11" s="463"/>
      <c r="C11" s="515"/>
      <c r="D11" s="2"/>
      <c r="E11" s="2"/>
      <c r="F11" s="2"/>
      <c r="G11" s="2"/>
      <c r="H11" s="2"/>
      <c r="I11" s="2"/>
      <c r="J11" s="2"/>
      <c r="K11" s="2"/>
      <c r="L11" s="2"/>
    </row>
    <row r="12" spans="2:14" ht="15.75" thickBot="1">
      <c r="B12" s="462"/>
      <c r="C12" s="515"/>
      <c r="D12" s="2"/>
      <c r="E12" s="2"/>
      <c r="F12" s="2"/>
      <c r="G12" s="2"/>
      <c r="H12" s="2"/>
      <c r="I12" s="2"/>
      <c r="J12" s="2"/>
      <c r="K12" s="2"/>
      <c r="L12" s="2"/>
    </row>
    <row r="13" spans="2:14" ht="15.75" thickBot="1">
      <c r="B13" s="2"/>
      <c r="C13" s="981" t="s">
        <v>429</v>
      </c>
      <c r="D13" s="982"/>
      <c r="E13" s="982"/>
      <c r="F13" s="983"/>
      <c r="G13" s="2"/>
      <c r="H13" s="2"/>
      <c r="I13" s="2"/>
      <c r="J13" s="2"/>
      <c r="K13" s="2"/>
      <c r="L13" s="2"/>
    </row>
    <row r="14" spans="2:14" ht="15.75" thickBot="1">
      <c r="B14" s="512"/>
      <c r="C14" s="472" t="s">
        <v>414</v>
      </c>
      <c r="D14" s="473" t="s">
        <v>415</v>
      </c>
      <c r="E14" s="473" t="s">
        <v>416</v>
      </c>
      <c r="F14" s="474" t="s">
        <v>417</v>
      </c>
      <c r="G14" s="2"/>
      <c r="H14" s="2"/>
      <c r="I14" s="940" t="s">
        <v>418</v>
      </c>
      <c r="J14" s="941"/>
      <c r="K14" s="941"/>
      <c r="L14" s="942"/>
    </row>
    <row r="15" spans="2:14" ht="15.75" thickBot="1">
      <c r="B15" s="475" t="s">
        <v>414</v>
      </c>
      <c r="C15" s="855">
        <v>1</v>
      </c>
      <c r="D15" s="856">
        <v>-0.25</v>
      </c>
      <c r="E15" s="856">
        <v>0.25</v>
      </c>
      <c r="F15" s="857">
        <v>0</v>
      </c>
      <c r="G15" s="2"/>
      <c r="H15" s="2"/>
      <c r="I15" s="865">
        <f t="array" ref="I15:L15">MMULT(TRANSPOSE(C4:C7),C15:F18)</f>
        <v>42251277.041946799</v>
      </c>
      <c r="J15" s="866">
        <v>-5304244.2697387114</v>
      </c>
      <c r="K15" s="866">
        <v>17836694.121706512</v>
      </c>
      <c r="L15" s="867">
        <v>3570612.4629919501</v>
      </c>
    </row>
    <row r="16" spans="2:14">
      <c r="B16" s="476" t="s">
        <v>415</v>
      </c>
      <c r="C16" s="858">
        <v>-0.25</v>
      </c>
      <c r="D16" s="859">
        <v>1</v>
      </c>
      <c r="E16" s="860">
        <v>0</v>
      </c>
      <c r="F16" s="861">
        <v>0.25</v>
      </c>
      <c r="G16" s="2"/>
      <c r="H16" s="2"/>
      <c r="I16" s="2"/>
      <c r="J16" s="2"/>
      <c r="K16" s="2"/>
      <c r="L16" s="2"/>
    </row>
    <row r="17" spans="2:12">
      <c r="B17" s="476" t="s">
        <v>416</v>
      </c>
      <c r="C17" s="858">
        <v>0.25</v>
      </c>
      <c r="D17" s="860">
        <v>0</v>
      </c>
      <c r="E17" s="859">
        <v>1</v>
      </c>
      <c r="F17" s="861">
        <v>0.25</v>
      </c>
      <c r="G17" s="2"/>
      <c r="H17" s="2"/>
      <c r="I17" s="2"/>
      <c r="J17" s="2"/>
      <c r="K17" s="2"/>
      <c r="L17" s="2"/>
    </row>
    <row r="18" spans="2:12" ht="15.75" thickBot="1">
      <c r="B18" s="477" t="s">
        <v>417</v>
      </c>
      <c r="C18" s="862">
        <v>0</v>
      </c>
      <c r="D18" s="863">
        <v>0.25</v>
      </c>
      <c r="E18" s="863">
        <v>0.25</v>
      </c>
      <c r="F18" s="864">
        <v>1</v>
      </c>
      <c r="G18" s="2"/>
      <c r="H18" s="2"/>
      <c r="I18" s="2"/>
      <c r="J18" s="2"/>
      <c r="K18" s="2"/>
      <c r="L18" s="2"/>
    </row>
  </sheetData>
  <mergeCells count="2">
    <mergeCell ref="C13:F13"/>
    <mergeCell ref="I14:L14"/>
  </mergeCells>
  <pageMargins left="0.7" right="0.7" top="0.75" bottom="0.75" header="0.3" footer="0.3"/>
  <pageSetup scale="72" orientation="landscape" verticalDpi="597"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pageSetUpPr fitToPage="1"/>
  </sheetPr>
  <dimension ref="A1:M35"/>
  <sheetViews>
    <sheetView showGridLines="0" zoomScaleNormal="100" workbookViewId="0">
      <selection activeCell="D11" sqref="D11"/>
    </sheetView>
  </sheetViews>
  <sheetFormatPr baseColWidth="10" defaultRowHeight="14.25"/>
  <cols>
    <col min="1" max="1" width="2.7109375" style="217" customWidth="1"/>
    <col min="2" max="2" width="13" style="217" customWidth="1"/>
    <col min="3" max="3" width="74.7109375" style="2" customWidth="1"/>
    <col min="4" max="4" width="16.7109375" style="2" customWidth="1"/>
    <col min="5" max="5" width="7" style="217" customWidth="1"/>
    <col min="6" max="6" width="13.140625" style="217" customWidth="1"/>
    <col min="7" max="7" width="15.5703125" style="217" customWidth="1"/>
    <col min="8" max="13" width="11.42578125" style="217"/>
    <col min="14" max="16384" width="11.42578125" style="2"/>
  </cols>
  <sheetData>
    <row r="1" spans="2:12" s="217" customFormat="1" ht="15.75">
      <c r="B1" s="206" t="s">
        <v>174</v>
      </c>
    </row>
    <row r="2" spans="2:12" s="217" customFormat="1" ht="14.25" customHeight="1" thickBot="1">
      <c r="B2" s="231" t="s">
        <v>282</v>
      </c>
      <c r="C2" s="229"/>
      <c r="D2" s="229"/>
      <c r="E2" s="229"/>
      <c r="F2" s="229"/>
      <c r="G2" s="229"/>
      <c r="H2" s="229"/>
      <c r="I2" s="229"/>
      <c r="J2" s="229"/>
      <c r="K2" s="229"/>
      <c r="L2" s="229"/>
    </row>
    <row r="3" spans="2:12" s="217" customFormat="1" ht="14.25" customHeight="1" thickBot="1">
      <c r="B3" s="231"/>
      <c r="C3" s="6" t="s">
        <v>16</v>
      </c>
      <c r="D3" s="15" t="s">
        <v>155</v>
      </c>
      <c r="E3" s="229"/>
      <c r="F3" s="229"/>
      <c r="G3" s="229"/>
      <c r="H3" s="229"/>
      <c r="I3" s="229"/>
      <c r="J3" s="229"/>
      <c r="K3" s="229"/>
      <c r="L3" s="229"/>
    </row>
    <row r="4" spans="2:12" s="217" customFormat="1" ht="14.25" customHeight="1">
      <c r="B4" s="231"/>
      <c r="C4" s="410" t="s">
        <v>283</v>
      </c>
      <c r="D4" s="289">
        <v>8700000</v>
      </c>
      <c r="E4" s="229"/>
      <c r="F4" s="229"/>
      <c r="G4" s="290"/>
      <c r="H4" s="229"/>
      <c r="I4" s="229"/>
      <c r="J4" s="229"/>
      <c r="K4" s="229"/>
      <c r="L4" s="229"/>
    </row>
    <row r="5" spans="2:12" s="217" customFormat="1" ht="14.25" customHeight="1">
      <c r="B5" s="231"/>
      <c r="C5" s="411" t="s">
        <v>284</v>
      </c>
      <c r="D5" s="291">
        <f>+D6*1.1</f>
        <v>220000000.00000003</v>
      </c>
      <c r="E5" s="229"/>
      <c r="F5"/>
      <c r="G5"/>
      <c r="H5" s="229"/>
      <c r="I5" s="229"/>
      <c r="J5" s="229"/>
      <c r="K5" s="229"/>
      <c r="L5" s="229"/>
    </row>
    <row r="6" spans="2:12" s="217" customFormat="1" ht="14.25" customHeight="1">
      <c r="B6" s="231"/>
      <c r="C6" s="411" t="s">
        <v>285</v>
      </c>
      <c r="D6" s="556">
        <v>200000000</v>
      </c>
      <c r="E6" s="229"/>
      <c r="F6"/>
      <c r="G6"/>
      <c r="H6" s="229"/>
      <c r="I6" s="229"/>
      <c r="J6" s="229"/>
      <c r="K6" s="229"/>
      <c r="L6" s="229"/>
    </row>
    <row r="7" spans="2:12" s="217" customFormat="1" ht="14.25" customHeight="1">
      <c r="B7" s="231"/>
      <c r="C7" s="411" t="s">
        <v>286</v>
      </c>
      <c r="D7" s="556">
        <f>+D8*1.05</f>
        <v>42000000</v>
      </c>
      <c r="E7" s="229"/>
      <c r="F7"/>
      <c r="G7"/>
      <c r="H7" s="229"/>
      <c r="I7" s="229"/>
      <c r="J7" s="229"/>
      <c r="K7" s="229"/>
      <c r="L7" s="229"/>
    </row>
    <row r="8" spans="2:12" s="217" customFormat="1" ht="14.25" customHeight="1">
      <c r="B8" s="231"/>
      <c r="C8" s="411" t="s">
        <v>287</v>
      </c>
      <c r="D8" s="556">
        <v>40000000</v>
      </c>
      <c r="E8" s="229"/>
      <c r="F8"/>
      <c r="G8"/>
      <c r="H8" s="229"/>
      <c r="I8" s="229"/>
      <c r="J8" s="229"/>
      <c r="K8" s="229"/>
      <c r="L8" s="229"/>
    </row>
    <row r="9" spans="2:12" s="217" customFormat="1" ht="14.25" customHeight="1">
      <c r="B9" s="231"/>
      <c r="C9" s="411" t="s">
        <v>288</v>
      </c>
      <c r="D9" s="556">
        <v>1350000000</v>
      </c>
      <c r="E9" s="229"/>
      <c r="F9"/>
      <c r="G9"/>
      <c r="H9" s="229"/>
      <c r="I9" s="229"/>
      <c r="J9" s="229"/>
      <c r="K9" s="229"/>
      <c r="L9" s="229"/>
    </row>
    <row r="10" spans="2:12" s="217" customFormat="1" ht="14.25" customHeight="1">
      <c r="B10" s="231"/>
      <c r="C10" s="411" t="s">
        <v>289</v>
      </c>
      <c r="D10" s="556">
        <v>90000000</v>
      </c>
      <c r="E10" s="229"/>
      <c r="F10"/>
      <c r="G10"/>
      <c r="H10" s="229"/>
      <c r="I10" s="229"/>
      <c r="J10" s="229"/>
      <c r="K10" s="229"/>
      <c r="L10" s="229"/>
    </row>
    <row r="11" spans="2:12" s="217" customFormat="1" ht="15" thickBot="1">
      <c r="B11" s="230"/>
      <c r="C11" s="456" t="s">
        <v>170</v>
      </c>
      <c r="D11" s="292">
        <f>MIN(0.2*'Cap VI Agregación (CSV)'!C10,F27+F33)</f>
        <v>9295000</v>
      </c>
      <c r="E11" s="230"/>
      <c r="F11" s="230"/>
      <c r="G11" s="290"/>
      <c r="H11" s="230"/>
      <c r="I11" s="230"/>
      <c r="J11" s="230"/>
      <c r="K11" s="230"/>
      <c r="L11" s="230"/>
    </row>
    <row r="12" spans="2:12" s="217" customFormat="1">
      <c r="B12" s="230"/>
      <c r="C12" s="230"/>
      <c r="D12" s="230"/>
      <c r="E12" s="230"/>
      <c r="F12" s="230"/>
      <c r="G12" s="230"/>
      <c r="H12" s="230"/>
      <c r="I12" s="230"/>
      <c r="J12" s="230"/>
      <c r="K12" s="230"/>
      <c r="L12" s="230"/>
    </row>
    <row r="13" spans="2:12" s="217" customFormat="1">
      <c r="C13" s="235" t="s">
        <v>173</v>
      </c>
      <c r="D13" s="230"/>
      <c r="E13" s="230"/>
      <c r="F13" s="230"/>
      <c r="G13" s="230"/>
      <c r="H13" s="230"/>
      <c r="I13" s="230"/>
      <c r="J13" s="230"/>
      <c r="K13" s="230"/>
      <c r="L13" s="230"/>
    </row>
    <row r="14" spans="2:12" s="217" customFormat="1">
      <c r="B14" s="232"/>
      <c r="C14" s="230"/>
      <c r="D14" s="230"/>
      <c r="E14" s="230"/>
      <c r="F14" s="230"/>
      <c r="G14" s="230"/>
      <c r="H14" s="230"/>
      <c r="I14" s="230"/>
      <c r="J14" s="230"/>
      <c r="K14" s="230"/>
      <c r="L14" s="230"/>
    </row>
    <row r="15" spans="2:12" s="217" customFormat="1">
      <c r="B15" s="228" t="s">
        <v>68</v>
      </c>
      <c r="C15" s="228"/>
      <c r="D15" s="228"/>
      <c r="E15" s="228"/>
      <c r="F15" s="228"/>
      <c r="G15" s="228"/>
      <c r="H15" s="228"/>
      <c r="I15" s="228"/>
      <c r="J15" s="228"/>
      <c r="K15" s="228"/>
      <c r="L15" s="228"/>
    </row>
    <row r="16" spans="2:12" s="217" customFormat="1">
      <c r="B16" s="293" t="s">
        <v>290</v>
      </c>
      <c r="C16" s="294" t="s">
        <v>291</v>
      </c>
      <c r="D16" s="294"/>
      <c r="E16" s="294"/>
      <c r="F16" s="294"/>
      <c r="G16" s="294"/>
      <c r="H16" s="294"/>
      <c r="I16" s="294"/>
      <c r="J16" s="294"/>
      <c r="K16" s="294"/>
      <c r="L16" s="294"/>
    </row>
    <row r="17" spans="2:12" s="217" customFormat="1">
      <c r="B17" s="293" t="s">
        <v>292</v>
      </c>
      <c r="C17" s="294" t="s">
        <v>293</v>
      </c>
      <c r="D17" s="294"/>
      <c r="E17" s="294"/>
      <c r="F17" s="294"/>
      <c r="G17" s="294"/>
      <c r="H17" s="294"/>
      <c r="I17" s="294"/>
      <c r="J17" s="294"/>
      <c r="K17" s="294"/>
      <c r="L17" s="294"/>
    </row>
    <row r="18" spans="2:12" s="217" customFormat="1">
      <c r="B18" s="293" t="s">
        <v>294</v>
      </c>
      <c r="C18" s="294" t="s">
        <v>295</v>
      </c>
      <c r="D18" s="294"/>
      <c r="E18" s="294"/>
      <c r="F18" s="294"/>
      <c r="G18" s="294"/>
      <c r="H18" s="294"/>
      <c r="I18" s="294"/>
      <c r="J18" s="294"/>
      <c r="K18" s="294"/>
      <c r="L18" s="294"/>
    </row>
    <row r="19" spans="2:12" s="217" customFormat="1">
      <c r="B19" s="293" t="s">
        <v>296</v>
      </c>
      <c r="C19" s="294" t="s">
        <v>297</v>
      </c>
      <c r="D19" s="294"/>
      <c r="E19" s="294"/>
      <c r="F19" s="294"/>
      <c r="G19" s="294"/>
      <c r="H19" s="294"/>
      <c r="I19" s="294"/>
      <c r="J19" s="294"/>
      <c r="K19" s="294"/>
      <c r="L19" s="294"/>
    </row>
    <row r="20" spans="2:12" s="217" customFormat="1">
      <c r="B20" s="293" t="s">
        <v>298</v>
      </c>
      <c r="C20" s="294" t="s">
        <v>299</v>
      </c>
      <c r="D20" s="294"/>
      <c r="E20" s="294"/>
      <c r="F20" s="294"/>
      <c r="G20" s="294"/>
      <c r="H20" s="294"/>
      <c r="I20" s="294"/>
      <c r="J20" s="294"/>
      <c r="K20" s="294"/>
      <c r="L20" s="294"/>
    </row>
    <row r="21" spans="2:12" s="217" customFormat="1">
      <c r="B21" s="293" t="s">
        <v>300</v>
      </c>
      <c r="C21" s="294" t="s">
        <v>301</v>
      </c>
      <c r="D21" s="294"/>
      <c r="E21" s="294"/>
      <c r="F21" s="294"/>
      <c r="G21" s="294"/>
      <c r="H21" s="294"/>
      <c r="I21" s="294"/>
      <c r="J21" s="294"/>
      <c r="K21" s="294"/>
      <c r="L21" s="294"/>
    </row>
    <row r="22" spans="2:12" s="217" customFormat="1">
      <c r="B22" s="293" t="s">
        <v>302</v>
      </c>
      <c r="C22" s="294" t="s">
        <v>303</v>
      </c>
      <c r="D22" s="294"/>
      <c r="E22" s="294"/>
      <c r="F22" s="294"/>
      <c r="G22" s="294"/>
      <c r="H22" s="294"/>
      <c r="I22" s="294"/>
      <c r="J22" s="294"/>
      <c r="K22" s="294"/>
      <c r="L22" s="294"/>
    </row>
    <row r="23" spans="2:12" s="217" customFormat="1">
      <c r="B23" s="293" t="s">
        <v>69</v>
      </c>
      <c r="C23" s="984" t="s">
        <v>381</v>
      </c>
      <c r="D23" s="984"/>
      <c r="E23" s="984"/>
      <c r="F23" s="984"/>
      <c r="G23" s="984"/>
      <c r="H23" s="984"/>
      <c r="I23" s="984"/>
      <c r="J23" s="984"/>
      <c r="K23" s="984"/>
      <c r="L23" s="984"/>
    </row>
    <row r="24" spans="2:12" s="217" customFormat="1">
      <c r="B24" s="293" t="s">
        <v>70</v>
      </c>
      <c r="C24" s="984" t="s">
        <v>304</v>
      </c>
      <c r="D24" s="984"/>
      <c r="E24" s="984"/>
      <c r="F24" s="984"/>
      <c r="G24" s="984"/>
      <c r="H24" s="984"/>
      <c r="I24" s="984"/>
      <c r="J24" s="984"/>
      <c r="K24" s="984"/>
      <c r="L24" s="984"/>
    </row>
    <row r="25" spans="2:12" s="217" customFormat="1" ht="15.75">
      <c r="B25" s="293" t="s">
        <v>305</v>
      </c>
      <c r="C25" s="294" t="s">
        <v>306</v>
      </c>
      <c r="D25" s="294"/>
      <c r="E25" s="294"/>
      <c r="F25" s="294"/>
      <c r="G25" s="294"/>
      <c r="H25" s="294"/>
      <c r="I25" s="294"/>
      <c r="J25" s="294"/>
      <c r="K25" s="294"/>
      <c r="L25" s="294"/>
    </row>
    <row r="26" spans="2:12" s="217" customFormat="1">
      <c r="B26" s="295"/>
      <c r="C26" s="296"/>
      <c r="D26" s="212"/>
      <c r="E26" s="212"/>
      <c r="F26" s="212"/>
      <c r="G26" s="212"/>
    </row>
    <row r="27" spans="2:12" s="217" customFormat="1" ht="15">
      <c r="B27" s="295" t="s">
        <v>307</v>
      </c>
      <c r="C27" s="297" t="s">
        <v>308</v>
      </c>
      <c r="D27" s="212"/>
      <c r="E27" s="298" t="s">
        <v>219</v>
      </c>
      <c r="F27" s="299">
        <f>MAX(F29:F31)</f>
        <v>7120000.0000000009</v>
      </c>
      <c r="G27" s="212"/>
    </row>
    <row r="28" spans="2:12" s="217" customFormat="1">
      <c r="B28" s="228"/>
      <c r="C28" s="201"/>
      <c r="D28" s="212"/>
      <c r="E28" s="212"/>
      <c r="F28" s="212"/>
      <c r="G28" s="212"/>
    </row>
    <row r="29" spans="2:12" s="217" customFormat="1" ht="15">
      <c r="B29" s="295" t="s">
        <v>309</v>
      </c>
      <c r="C29" s="201" t="s">
        <v>380</v>
      </c>
      <c r="D29" s="212"/>
      <c r="E29" s="298" t="s">
        <v>219</v>
      </c>
      <c r="F29" s="299">
        <f>0.04*(D5-D7)+MAX(0,0.04*((D5-1.2*D6)-(D7-1.2*D8)))</f>
        <v>7120000.0000000009</v>
      </c>
      <c r="G29" s="212"/>
    </row>
    <row r="30" spans="2:12" s="217" customFormat="1">
      <c r="B30" s="300"/>
      <c r="C30" s="297"/>
      <c r="D30" s="212"/>
      <c r="E30" s="298"/>
      <c r="F30" s="212"/>
      <c r="G30" s="212"/>
    </row>
    <row r="31" spans="2:12" s="217" customFormat="1" ht="15">
      <c r="B31" s="295" t="s">
        <v>310</v>
      </c>
      <c r="C31" s="201" t="s">
        <v>311</v>
      </c>
      <c r="D31" s="212"/>
      <c r="E31" s="298" t="s">
        <v>219</v>
      </c>
      <c r="F31" s="299">
        <f>0.0045*MAX(0,D9-D10)</f>
        <v>5670000</v>
      </c>
      <c r="G31" s="212"/>
    </row>
    <row r="32" spans="2:12" s="217" customFormat="1">
      <c r="B32" s="301"/>
      <c r="C32" s="302"/>
      <c r="D32" s="303"/>
      <c r="E32" s="212"/>
      <c r="F32" s="212"/>
    </row>
    <row r="33" spans="2:6" s="217" customFormat="1">
      <c r="B33" s="304" t="s">
        <v>312</v>
      </c>
      <c r="D33" s="303"/>
      <c r="E33" s="298" t="s">
        <v>219</v>
      </c>
      <c r="F33" s="305">
        <f>D4*25%</f>
        <v>2175000</v>
      </c>
    </row>
    <row r="34" spans="2:6" s="217" customFormat="1" ht="15">
      <c r="C34"/>
      <c r="D34" s="2"/>
    </row>
    <row r="35" spans="2:6" s="217" customFormat="1" ht="15">
      <c r="C35" s="160"/>
      <c r="D35" s="2"/>
    </row>
  </sheetData>
  <mergeCells count="2">
    <mergeCell ref="C23:L23"/>
    <mergeCell ref="C24:L24"/>
  </mergeCells>
  <printOptions horizontalCentered="1"/>
  <pageMargins left="0.39370078740157483" right="0.39370078740157483" top="0.74803149606299213" bottom="0.74803149606299213" header="0.31496062992125984" footer="0.31496062992125984"/>
  <pageSetup scale="65" orientation="landscape" verticalDpi="597" r:id="rId1"/>
  <legacy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L24"/>
  <sheetViews>
    <sheetView showGridLines="0" workbookViewId="0">
      <selection activeCell="C18" sqref="C18"/>
    </sheetView>
  </sheetViews>
  <sheetFormatPr baseColWidth="10" defaultRowHeight="15"/>
  <cols>
    <col min="1" max="1" width="4.7109375" customWidth="1"/>
    <col min="2" max="2" width="30.7109375" customWidth="1"/>
    <col min="3" max="3" width="16.7109375" customWidth="1"/>
    <col min="4" max="4" width="5.7109375" style="41" customWidth="1"/>
    <col min="5" max="7" width="18.7109375" customWidth="1"/>
    <col min="8" max="8" width="11.42578125" style="41"/>
    <col min="9" max="11" width="14.7109375" customWidth="1"/>
  </cols>
  <sheetData>
    <row r="1" spans="2:12" ht="15.75">
      <c r="B1" s="206" t="s">
        <v>409</v>
      </c>
    </row>
    <row r="2" spans="2:12" s="41" customFormat="1" ht="15.75">
      <c r="B2" s="206" t="s">
        <v>410</v>
      </c>
    </row>
    <row r="3" spans="2:12" s="41" customFormat="1" ht="15.75">
      <c r="B3" s="206" t="s">
        <v>412</v>
      </c>
    </row>
    <row r="4" spans="2:12" s="41" customFormat="1" ht="15.75" thickBot="1">
      <c r="B4" s="200"/>
      <c r="C4" s="201"/>
    </row>
    <row r="5" spans="2:12" ht="15.75" thickBot="1">
      <c r="B5" s="202"/>
      <c r="C5" s="42" t="s">
        <v>213</v>
      </c>
      <c r="D5" s="203"/>
      <c r="E5" s="907" t="s">
        <v>314</v>
      </c>
      <c r="F5" s="908"/>
      <c r="G5" s="909"/>
      <c r="I5" s="907" t="s">
        <v>214</v>
      </c>
      <c r="J5" s="908"/>
      <c r="K5" s="909"/>
    </row>
    <row r="6" spans="2:12" ht="15.75" thickBot="1">
      <c r="B6" s="163" t="s">
        <v>205</v>
      </c>
      <c r="C6" s="164">
        <f>'Agregación CBR Mercado'!$C$11</f>
        <v>73208282.348375633</v>
      </c>
      <c r="D6" s="204"/>
      <c r="E6" s="175" t="s">
        <v>202</v>
      </c>
      <c r="F6" s="176" t="s">
        <v>203</v>
      </c>
      <c r="G6" s="177" t="s">
        <v>204</v>
      </c>
      <c r="I6" s="178">
        <f t="array" ref="I6:K6">MMULT(TRANSPOSE(C6:C8),E7:G9)</f>
        <v>91526274.463025495</v>
      </c>
      <c r="J6" s="179">
        <v>59174029.232300274</v>
      </c>
      <c r="K6" s="180">
        <v>69020072.515136868</v>
      </c>
    </row>
    <row r="7" spans="2:12">
      <c r="B7" s="165" t="s">
        <v>206</v>
      </c>
      <c r="C7" s="166">
        <f>+'Cap III 1.2 CBR Crédito'!N6</f>
        <v>30071955.374075331</v>
      </c>
      <c r="D7" s="204"/>
      <c r="E7" s="169">
        <v>1</v>
      </c>
      <c r="F7" s="170">
        <v>0.25</v>
      </c>
      <c r="G7" s="171">
        <v>0.25</v>
      </c>
      <c r="I7" s="205"/>
      <c r="J7" s="41"/>
      <c r="K7" s="41"/>
    </row>
    <row r="8" spans="2:12">
      <c r="B8" s="165" t="s">
        <v>207</v>
      </c>
      <c r="C8" s="166">
        <f>+'Agregación Riesgos Técnicos CSV'!C9</f>
        <v>43200013.084524117</v>
      </c>
      <c r="D8" s="199"/>
      <c r="E8" s="169">
        <v>0.25</v>
      </c>
      <c r="F8" s="170">
        <v>1</v>
      </c>
      <c r="G8" s="171">
        <v>0.25</v>
      </c>
      <c r="I8" s="205"/>
      <c r="J8" s="41"/>
      <c r="K8" s="41"/>
    </row>
    <row r="9" spans="2:12" ht="15.75" thickBot="1">
      <c r="B9" s="167" t="s">
        <v>105</v>
      </c>
      <c r="C9" s="168">
        <f>SUM(C6:C8)</f>
        <v>146480250.8069751</v>
      </c>
      <c r="E9" s="172">
        <v>0.25</v>
      </c>
      <c r="F9" s="173">
        <v>0.25</v>
      </c>
      <c r="G9" s="174">
        <v>1</v>
      </c>
      <c r="I9" s="41"/>
      <c r="J9" s="41"/>
      <c r="K9" s="41"/>
    </row>
    <row r="10" spans="2:12" ht="15.75" thickBot="1">
      <c r="B10" s="233" t="s">
        <v>208</v>
      </c>
      <c r="C10" s="234">
        <f>SQRT(MMULT(I6:K6,C6:C8))</f>
        <v>107058993.76190107</v>
      </c>
      <c r="D10" s="196"/>
      <c r="E10" s="197"/>
      <c r="F10" s="198"/>
      <c r="G10" s="198"/>
      <c r="I10" s="41"/>
      <c r="J10" s="41"/>
      <c r="K10" s="41"/>
      <c r="L10" s="41"/>
    </row>
    <row r="11" spans="2:12">
      <c r="B11" s="161" t="s">
        <v>216</v>
      </c>
      <c r="C11" s="162">
        <f>C9-C10</f>
        <v>39421257.045074031</v>
      </c>
      <c r="E11" s="197"/>
      <c r="F11" s="197"/>
      <c r="G11" s="197"/>
      <c r="I11" s="41"/>
      <c r="J11" s="41"/>
      <c r="K11" s="41"/>
      <c r="L11" s="41"/>
    </row>
    <row r="12" spans="2:12">
      <c r="B12" s="682" t="s">
        <v>215</v>
      </c>
      <c r="C12" s="683">
        <f>+C11/C9</f>
        <v>0.26912335845889246</v>
      </c>
      <c r="E12" s="41"/>
      <c r="F12" s="41"/>
      <c r="G12" s="41"/>
      <c r="I12" s="41"/>
      <c r="J12" s="41"/>
      <c r="K12" s="41"/>
      <c r="L12" s="41"/>
    </row>
    <row r="13" spans="2:12" ht="15.75" thickBot="1">
      <c r="B13" s="161" t="s">
        <v>217</v>
      </c>
      <c r="C13" s="162">
        <f>'Cap V CBR Operacional (CSV)'!$D$11</f>
        <v>9295000</v>
      </c>
      <c r="E13" s="787"/>
      <c r="F13" s="41"/>
      <c r="G13" s="41"/>
      <c r="I13" s="41"/>
      <c r="J13" s="41"/>
      <c r="K13" s="41"/>
      <c r="L13" s="41"/>
    </row>
    <row r="14" spans="2:12" ht="15.75" thickBot="1">
      <c r="B14" s="233" t="s">
        <v>411</v>
      </c>
      <c r="C14" s="234">
        <f>+C10+C13</f>
        <v>116353993.76190107</v>
      </c>
      <c r="D14" s="665"/>
      <c r="E14" s="666"/>
      <c r="F14" s="41"/>
      <c r="G14" s="41"/>
      <c r="I14" s="41"/>
      <c r="J14" s="41"/>
      <c r="K14" s="41"/>
      <c r="L14" s="41"/>
    </row>
    <row r="15" spans="2:12" ht="15.75" thickBot="1">
      <c r="C15" s="138"/>
      <c r="E15" s="41"/>
      <c r="F15" s="41"/>
      <c r="G15" s="41"/>
      <c r="I15" s="41"/>
      <c r="J15" s="41"/>
      <c r="K15" s="41"/>
      <c r="L15" s="41"/>
    </row>
    <row r="16" spans="2:12" ht="15.75" thickBot="1">
      <c r="B16" s="233" t="s">
        <v>475</v>
      </c>
      <c r="C16" s="566">
        <f>+'Cap II Patrim Disponible'!C14</f>
        <v>162207500</v>
      </c>
      <c r="E16" s="786"/>
      <c r="F16" s="41"/>
      <c r="G16" s="41"/>
      <c r="I16" s="41"/>
      <c r="J16" s="41"/>
      <c r="K16" s="41"/>
      <c r="L16" s="41"/>
    </row>
    <row r="17" spans="2:12" ht="15.75" thickBot="1">
      <c r="B17" s="233" t="s">
        <v>467</v>
      </c>
      <c r="C17" s="566">
        <f>+'Cap II Patrim Disponible'!E11</f>
        <v>1575739465.5</v>
      </c>
      <c r="D17" s="567"/>
      <c r="E17" s="41"/>
      <c r="F17" s="41"/>
      <c r="G17" s="41"/>
      <c r="I17" s="41"/>
      <c r="J17" s="41"/>
      <c r="K17" s="41"/>
      <c r="L17" s="41"/>
    </row>
    <row r="18" spans="2:12" ht="15.75" thickBot="1">
      <c r="B18" s="233" t="s">
        <v>476</v>
      </c>
      <c r="C18" s="566">
        <f>+C16-'Cap II Patrim Disponible'!C11</f>
        <v>12207500</v>
      </c>
      <c r="E18" s="41"/>
      <c r="F18" s="41"/>
      <c r="G18" s="41"/>
      <c r="I18" s="41"/>
      <c r="J18" s="41"/>
      <c r="K18" s="41"/>
      <c r="L18" s="41"/>
    </row>
    <row r="19" spans="2:12">
      <c r="C19" s="138"/>
      <c r="E19" s="41"/>
      <c r="F19" s="41"/>
      <c r="G19" s="41"/>
      <c r="I19" s="41"/>
      <c r="J19" s="41"/>
      <c r="K19" s="41"/>
      <c r="L19" s="41"/>
    </row>
    <row r="20" spans="2:12">
      <c r="C20" s="138"/>
      <c r="E20" s="41"/>
      <c r="F20" s="41"/>
      <c r="G20" s="41"/>
      <c r="I20" s="41"/>
      <c r="J20" s="41"/>
      <c r="K20" s="41"/>
      <c r="L20" s="41"/>
    </row>
    <row r="21" spans="2:12">
      <c r="C21" s="138"/>
      <c r="E21" s="41"/>
      <c r="F21" s="41"/>
      <c r="G21" s="41"/>
      <c r="I21" s="41"/>
      <c r="J21" s="41"/>
      <c r="K21" s="41"/>
      <c r="L21" s="41"/>
    </row>
    <row r="22" spans="2:12">
      <c r="C22" s="138"/>
      <c r="E22" s="41"/>
      <c r="F22" s="41"/>
      <c r="G22" s="41"/>
      <c r="I22" s="41"/>
      <c r="J22" s="41"/>
      <c r="K22" s="41"/>
      <c r="L22" s="41"/>
    </row>
    <row r="23" spans="2:12">
      <c r="C23" s="138"/>
      <c r="E23" s="41"/>
      <c r="F23" s="41"/>
      <c r="G23" s="41"/>
      <c r="I23" s="41"/>
      <c r="J23" s="41"/>
      <c r="K23" s="41"/>
      <c r="L23" s="41"/>
    </row>
    <row r="24" spans="2:12">
      <c r="E24" s="41"/>
      <c r="F24" s="41"/>
      <c r="G24" s="41"/>
      <c r="I24" s="41"/>
      <c r="J24" s="41"/>
      <c r="K24" s="41"/>
      <c r="L24" s="41"/>
    </row>
  </sheetData>
  <mergeCells count="2">
    <mergeCell ref="E5:G5"/>
    <mergeCell ref="I5:K5"/>
  </mergeCells>
  <printOptions horizontalCentered="1"/>
  <pageMargins left="0.39370078740157483" right="0.39370078740157483" top="0.74803149606299213" bottom="0.74803149606299213" header="0.31496062992125984" footer="0.31496062992125984"/>
  <pageSetup scale="74" orientation="landscape" verticalDpi="597"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J64"/>
  <sheetViews>
    <sheetView showGridLines="0" zoomScaleNormal="100" workbookViewId="0">
      <selection activeCell="G9" sqref="G9"/>
    </sheetView>
  </sheetViews>
  <sheetFormatPr baseColWidth="10" defaultRowHeight="15"/>
  <cols>
    <col min="1" max="1" width="4.7109375" style="321" customWidth="1"/>
    <col min="2" max="2" width="36.7109375" style="321" customWidth="1"/>
    <col min="3" max="8" width="15.7109375" style="321" customWidth="1"/>
    <col min="9" max="9" width="12.42578125" style="321" bestFit="1" customWidth="1"/>
    <col min="10" max="16384" width="11.42578125" style="321"/>
  </cols>
  <sheetData>
    <row r="1" spans="1:10" s="312" customFormat="1">
      <c r="B1" s="219" t="s">
        <v>171</v>
      </c>
      <c r="C1" s="344"/>
      <c r="D1" s="344"/>
      <c r="E1" s="344"/>
      <c r="F1" s="344"/>
      <c r="G1" s="344"/>
    </row>
    <row r="2" spans="1:10" s="312" customFormat="1">
      <c r="B2" s="219" t="s">
        <v>71</v>
      </c>
      <c r="C2" s="344"/>
      <c r="D2" s="344"/>
      <c r="E2" s="344"/>
      <c r="F2" s="344"/>
      <c r="G2" s="344"/>
      <c r="J2" s="520"/>
    </row>
    <row r="3" spans="1:10" s="312" customFormat="1" ht="15.75">
      <c r="B3" s="366" t="s">
        <v>328</v>
      </c>
      <c r="C3" s="344"/>
      <c r="D3" s="340"/>
      <c r="E3" s="344"/>
      <c r="F3" s="340"/>
      <c r="G3" s="340"/>
      <c r="J3" s="520"/>
    </row>
    <row r="4" spans="1:10" s="312" customFormat="1" ht="15.75" thickBot="1">
      <c r="B4" s="340"/>
      <c r="C4" s="340"/>
      <c r="D4" s="340"/>
      <c r="E4" s="340"/>
      <c r="F4" s="340"/>
      <c r="G4" s="340"/>
      <c r="J4" s="520"/>
    </row>
    <row r="5" spans="1:10" ht="15.75" thickBot="1">
      <c r="B5" s="340"/>
      <c r="C5" s="341" t="s">
        <v>116</v>
      </c>
      <c r="D5" s="342"/>
      <c r="E5" s="342"/>
      <c r="F5" s="343"/>
      <c r="G5" s="344"/>
      <c r="H5" s="312"/>
      <c r="I5" s="312"/>
      <c r="J5" s="520"/>
    </row>
    <row r="6" spans="1:10" ht="15.75" thickBot="1">
      <c r="B6" s="97" t="s">
        <v>16</v>
      </c>
      <c r="C6" s="236" t="s">
        <v>1</v>
      </c>
      <c r="D6" s="98" t="s">
        <v>2</v>
      </c>
      <c r="E6" s="98" t="s">
        <v>3</v>
      </c>
      <c r="F6" s="99" t="s">
        <v>4</v>
      </c>
      <c r="G6" s="100" t="s">
        <v>105</v>
      </c>
      <c r="H6" s="312"/>
      <c r="I6" s="312"/>
      <c r="J6" s="520"/>
    </row>
    <row r="7" spans="1:10">
      <c r="B7" s="313" t="s">
        <v>103</v>
      </c>
      <c r="C7" s="151">
        <f>+D15</f>
        <v>23200</v>
      </c>
      <c r="D7" s="384">
        <f>+D21</f>
        <v>848800</v>
      </c>
      <c r="E7" s="384">
        <f>+D27</f>
        <v>88000</v>
      </c>
      <c r="F7" s="315">
        <f>+D33</f>
        <v>840000</v>
      </c>
      <c r="G7" s="316">
        <f>SUM(C7:F7)</f>
        <v>1800000</v>
      </c>
      <c r="H7" s="519"/>
      <c r="I7" s="312"/>
      <c r="J7" s="520"/>
    </row>
    <row r="8" spans="1:10">
      <c r="B8" s="324" t="s">
        <v>104</v>
      </c>
      <c r="C8" s="153">
        <f>+D16</f>
        <v>22922.272983948944</v>
      </c>
      <c r="D8" s="387">
        <f>+D22</f>
        <v>820418.14626515447</v>
      </c>
      <c r="E8" s="387">
        <f>+D28</f>
        <v>85295.041662582109</v>
      </c>
      <c r="F8" s="390">
        <f>+D34</f>
        <v>791422.24679518549</v>
      </c>
      <c r="G8" s="391">
        <f t="shared" ref="G8:G9" si="0">SUM(C8:F8)</f>
        <v>1720057.707706871</v>
      </c>
      <c r="H8" s="312"/>
      <c r="I8" s="312"/>
      <c r="J8" s="520"/>
    </row>
    <row r="9" spans="1:10" ht="15.75" thickBot="1">
      <c r="B9" s="326" t="s">
        <v>5</v>
      </c>
      <c r="C9" s="392">
        <f>+D17</f>
        <v>277.72701605105613</v>
      </c>
      <c r="D9" s="393">
        <f>+D23</f>
        <v>28381.853734845528</v>
      </c>
      <c r="E9" s="393">
        <f>+D29</f>
        <v>2704.958337417891</v>
      </c>
      <c r="F9" s="394">
        <f>+D35</f>
        <v>48577.753204814508</v>
      </c>
      <c r="G9" s="395">
        <f t="shared" si="0"/>
        <v>79942.29229312898</v>
      </c>
      <c r="H9" s="312"/>
      <c r="I9" s="312"/>
      <c r="J9" s="520"/>
    </row>
    <row r="10" spans="1:10" ht="3" customHeight="1">
      <c r="A10" s="312"/>
      <c r="B10" s="221"/>
      <c r="C10" s="320"/>
      <c r="D10" s="320"/>
      <c r="E10" s="320"/>
      <c r="F10" s="320"/>
      <c r="G10" s="320"/>
      <c r="J10" s="518"/>
    </row>
    <row r="11" spans="1:10" ht="49.5" customHeight="1">
      <c r="A11" s="312"/>
      <c r="B11" s="925" t="s">
        <v>367</v>
      </c>
      <c r="C11" s="925"/>
      <c r="D11" s="925"/>
      <c r="E11" s="925"/>
      <c r="F11" s="925"/>
      <c r="G11" s="925"/>
    </row>
    <row r="12" spans="1:10" ht="9" customHeight="1" thickBot="1">
      <c r="A12" s="312"/>
      <c r="B12" s="340"/>
      <c r="C12" s="340"/>
      <c r="D12" s="340"/>
      <c r="E12" s="340"/>
      <c r="F12" s="340"/>
      <c r="G12" s="340"/>
    </row>
    <row r="13" spans="1:10" ht="15.75" thickBot="1">
      <c r="B13" s="97" t="s">
        <v>134</v>
      </c>
      <c r="D13" s="344"/>
      <c r="J13" s="518"/>
    </row>
    <row r="14" spans="1:10" ht="39" thickBot="1">
      <c r="B14" s="97" t="s">
        <v>16</v>
      </c>
      <c r="C14" s="364" t="s">
        <v>117</v>
      </c>
      <c r="D14" s="100" t="s">
        <v>105</v>
      </c>
      <c r="F14" s="926" t="s">
        <v>499</v>
      </c>
      <c r="G14" s="927"/>
      <c r="H14" s="928"/>
      <c r="J14" s="518"/>
    </row>
    <row r="15" spans="1:10">
      <c r="B15" s="313" t="s">
        <v>103</v>
      </c>
      <c r="C15" s="372">
        <f>+H16</f>
        <v>23200</v>
      </c>
      <c r="D15" s="316">
        <f>SUM(C15:C15)</f>
        <v>23200</v>
      </c>
      <c r="F15" s="595" t="s">
        <v>436</v>
      </c>
      <c r="G15" s="596">
        <v>0.36199999999999999</v>
      </c>
      <c r="H15" s="597">
        <f>+(G15/(1+G16)*(G16*(1+G17)-G16))</f>
        <v>1.1970992071166118E-2</v>
      </c>
    </row>
    <row r="16" spans="1:10">
      <c r="B16" s="324" t="s">
        <v>104</v>
      </c>
      <c r="C16" s="608">
        <f>+H17</f>
        <v>22922.272983948944</v>
      </c>
      <c r="D16" s="391">
        <f>SUM(C16:C16)</f>
        <v>22922.272983948944</v>
      </c>
      <c r="F16" s="595" t="s">
        <v>437</v>
      </c>
      <c r="G16" s="598">
        <v>3.4200000000000001E-2</v>
      </c>
      <c r="H16" s="599">
        <v>23200</v>
      </c>
    </row>
    <row r="17" spans="1:8" ht="15.75" thickBot="1">
      <c r="B17" s="326" t="s">
        <v>5</v>
      </c>
      <c r="C17" s="407">
        <f>+C15-C16</f>
        <v>277.72701605105613</v>
      </c>
      <c r="D17" s="395">
        <f>SUM(C17:C17)</f>
        <v>277.72701605105613</v>
      </c>
      <c r="F17" s="595" t="s">
        <v>438</v>
      </c>
      <c r="G17" s="545">
        <v>1</v>
      </c>
      <c r="H17" s="600">
        <f>+H16*(1-H15)</f>
        <v>22922.272983948944</v>
      </c>
    </row>
    <row r="18" spans="1:8" ht="9" customHeight="1" thickBot="1">
      <c r="B18" s="396"/>
      <c r="C18" s="396"/>
      <c r="D18" s="396"/>
      <c r="F18" s="601"/>
      <c r="G18" s="328"/>
      <c r="H18" s="602"/>
    </row>
    <row r="19" spans="1:8" ht="15.75" thickBot="1">
      <c r="B19" s="97" t="s">
        <v>133</v>
      </c>
      <c r="D19" s="396"/>
      <c r="F19" s="601"/>
      <c r="G19" s="328"/>
      <c r="H19" s="602"/>
    </row>
    <row r="20" spans="1:8" ht="39" thickBot="1">
      <c r="B20" s="97" t="s">
        <v>16</v>
      </c>
      <c r="C20" s="364" t="s">
        <v>118</v>
      </c>
      <c r="D20" s="100" t="s">
        <v>105</v>
      </c>
      <c r="F20" s="601"/>
      <c r="G20" s="328"/>
      <c r="H20" s="602"/>
    </row>
    <row r="21" spans="1:8">
      <c r="B21" s="313" t="s">
        <v>103</v>
      </c>
      <c r="C21" s="372">
        <f>+H22</f>
        <v>848800</v>
      </c>
      <c r="D21" s="316">
        <f>SUM(C21:C21)</f>
        <v>848800</v>
      </c>
      <c r="F21" s="595" t="s">
        <v>436</v>
      </c>
      <c r="G21" s="596">
        <v>2</v>
      </c>
      <c r="H21" s="597">
        <f>+(G21/(1+G22)*(G22*(1+G23)-G22))</f>
        <v>3.3437622213531491E-2</v>
      </c>
    </row>
    <row r="22" spans="1:8">
      <c r="B22" s="324" t="s">
        <v>104</v>
      </c>
      <c r="C22" s="608">
        <f>+H23</f>
        <v>820418.14626515447</v>
      </c>
      <c r="D22" s="391">
        <f>SUM(C22:C22)</f>
        <v>820418.14626515447</v>
      </c>
      <c r="F22" s="595" t="s">
        <v>437</v>
      </c>
      <c r="G22" s="598">
        <v>2.2800000000000001E-2</v>
      </c>
      <c r="H22" s="599">
        <v>848800</v>
      </c>
    </row>
    <row r="23" spans="1:8" ht="15.75" thickBot="1">
      <c r="B23" s="326" t="s">
        <v>5</v>
      </c>
      <c r="C23" s="407">
        <f t="shared" ref="C23" si="1">+C21-C22</f>
        <v>28381.853734845528</v>
      </c>
      <c r="D23" s="395">
        <f>SUM(C23:C23)</f>
        <v>28381.853734845528</v>
      </c>
      <c r="E23" s="398"/>
      <c r="F23" s="595" t="s">
        <v>438</v>
      </c>
      <c r="G23" s="545">
        <v>0.75</v>
      </c>
      <c r="H23" s="600">
        <f>+H22*(1-H21)</f>
        <v>820418.14626515447</v>
      </c>
    </row>
    <row r="24" spans="1:8" ht="9" customHeight="1" thickBot="1">
      <c r="A24" s="312"/>
      <c r="B24" s="344"/>
      <c r="C24" s="344"/>
      <c r="D24" s="344"/>
      <c r="F24" s="601"/>
      <c r="G24" s="328"/>
      <c r="H24" s="602"/>
    </row>
    <row r="25" spans="1:8" ht="15.75" thickBot="1">
      <c r="B25" s="97" t="s">
        <v>135</v>
      </c>
      <c r="D25" s="344"/>
      <c r="F25" s="603"/>
      <c r="G25" s="16"/>
      <c r="H25" s="604"/>
    </row>
    <row r="26" spans="1:8" ht="51.75" thickBot="1">
      <c r="B26" s="97" t="s">
        <v>16</v>
      </c>
      <c r="C26" s="364" t="s">
        <v>119</v>
      </c>
      <c r="D26" s="100" t="s">
        <v>105</v>
      </c>
      <c r="F26" s="601"/>
      <c r="G26" s="328"/>
      <c r="H26" s="602"/>
    </row>
    <row r="27" spans="1:8">
      <c r="B27" s="313" t="s">
        <v>103</v>
      </c>
      <c r="C27" s="372">
        <f>+H28</f>
        <v>88000</v>
      </c>
      <c r="D27" s="316">
        <f>SUM(C27:C27)</f>
        <v>88000</v>
      </c>
      <c r="F27" s="595" t="s">
        <v>436</v>
      </c>
      <c r="G27" s="596">
        <v>3.12</v>
      </c>
      <c r="H27" s="597">
        <f>+(G27/(1+G28)*(G28*(1+G29)-G28))</f>
        <v>3.073816292520341E-2</v>
      </c>
    </row>
    <row r="28" spans="1:8">
      <c r="B28" s="324" t="s">
        <v>104</v>
      </c>
      <c r="C28" s="608">
        <f>+H29</f>
        <v>85295.041662582109</v>
      </c>
      <c r="D28" s="391">
        <f>SUM(C28:C28)</f>
        <v>85295.041662582109</v>
      </c>
      <c r="F28" s="595" t="s">
        <v>437</v>
      </c>
      <c r="G28" s="598">
        <v>2.01E-2</v>
      </c>
      <c r="H28" s="599">
        <v>88000</v>
      </c>
    </row>
    <row r="29" spans="1:8" ht="15.75" thickBot="1">
      <c r="B29" s="326" t="s">
        <v>5</v>
      </c>
      <c r="C29" s="407">
        <f t="shared" ref="C29" si="2">+C27-C28</f>
        <v>2704.958337417891</v>
      </c>
      <c r="D29" s="395">
        <f>SUM(C29:C29)</f>
        <v>2704.958337417891</v>
      </c>
      <c r="F29" s="595" t="s">
        <v>438</v>
      </c>
      <c r="G29" s="545">
        <v>0.5</v>
      </c>
      <c r="H29" s="600">
        <f>+H28*(1-H27)</f>
        <v>85295.041662582109</v>
      </c>
    </row>
    <row r="30" spans="1:8" ht="9" customHeight="1" thickBot="1">
      <c r="B30" s="396"/>
      <c r="C30" s="396"/>
      <c r="D30" s="396"/>
      <c r="F30" s="601"/>
      <c r="G30" s="328"/>
      <c r="H30" s="602"/>
    </row>
    <row r="31" spans="1:8" ht="15.75" thickBot="1">
      <c r="B31" s="97" t="s">
        <v>136</v>
      </c>
      <c r="D31" s="396"/>
      <c r="F31" s="601"/>
      <c r="G31" s="328"/>
      <c r="H31" s="602"/>
    </row>
    <row r="32" spans="1:8" ht="39" thickBot="1">
      <c r="B32" s="97" t="s">
        <v>16</v>
      </c>
      <c r="C32" s="364" t="s">
        <v>120</v>
      </c>
      <c r="D32" s="100" t="s">
        <v>105</v>
      </c>
      <c r="F32" s="601"/>
      <c r="G32" s="328"/>
      <c r="H32" s="602"/>
    </row>
    <row r="33" spans="2:8">
      <c r="B33" s="313" t="s">
        <v>103</v>
      </c>
      <c r="C33" s="372">
        <f>+H34</f>
        <v>840000</v>
      </c>
      <c r="D33" s="316">
        <f>SUM(C33:C33)</f>
        <v>840000</v>
      </c>
      <c r="F33" s="595" t="s">
        <v>436</v>
      </c>
      <c r="G33" s="596">
        <v>7.71</v>
      </c>
      <c r="H33" s="597">
        <f>+(G33/(1+G34)*(G34*(1+G35)-G34))</f>
        <v>5.7830658577160202E-2</v>
      </c>
    </row>
    <row r="34" spans="2:8">
      <c r="B34" s="324" t="s">
        <v>104</v>
      </c>
      <c r="C34" s="608">
        <f>+H35</f>
        <v>791422.24679518549</v>
      </c>
      <c r="D34" s="391">
        <f>SUM(C34:C34)</f>
        <v>791422.24679518549</v>
      </c>
      <c r="F34" s="595" t="s">
        <v>437</v>
      </c>
      <c r="G34" s="598">
        <v>2.1899999999999999E-2</v>
      </c>
      <c r="H34" s="599">
        <v>840000</v>
      </c>
    </row>
    <row r="35" spans="2:8" ht="15.75" thickBot="1">
      <c r="B35" s="326" t="s">
        <v>5</v>
      </c>
      <c r="C35" s="407">
        <f t="shared" ref="C35" si="3">+C33-C34</f>
        <v>48577.753204814508</v>
      </c>
      <c r="D35" s="395">
        <f>SUM(C35:C35)</f>
        <v>48577.753204814508</v>
      </c>
      <c r="F35" s="605" t="s">
        <v>438</v>
      </c>
      <c r="G35" s="606">
        <v>0.35</v>
      </c>
      <c r="H35" s="607">
        <f>+H34*(1-H33)</f>
        <v>791422.24679518549</v>
      </c>
    </row>
    <row r="36" spans="2:8" s="312" customFormat="1" ht="9" customHeight="1" thickBot="1">
      <c r="B36" s="344"/>
      <c r="C36" s="344"/>
      <c r="D36" s="344"/>
      <c r="E36" s="344"/>
    </row>
    <row r="37" spans="2:8" ht="78" thickBot="1">
      <c r="B37" s="408" t="s">
        <v>56</v>
      </c>
      <c r="C37" s="365" t="s">
        <v>330</v>
      </c>
      <c r="D37" s="344"/>
      <c r="E37" s="344"/>
      <c r="F37" s="344"/>
      <c r="G37" s="344"/>
    </row>
    <row r="38" spans="2:8">
      <c r="B38" s="440" t="s">
        <v>1</v>
      </c>
      <c r="C38" s="441">
        <v>1</v>
      </c>
      <c r="D38" s="344"/>
      <c r="E38" s="344"/>
      <c r="F38" s="344"/>
      <c r="G38" s="344"/>
    </row>
    <row r="39" spans="2:8">
      <c r="B39" s="442" t="s">
        <v>2</v>
      </c>
      <c r="C39" s="443">
        <v>0.75</v>
      </c>
      <c r="D39" s="344"/>
      <c r="E39" s="344"/>
      <c r="F39" s="344"/>
      <c r="G39" s="344"/>
    </row>
    <row r="40" spans="2:8">
      <c r="B40" s="442" t="s">
        <v>57</v>
      </c>
      <c r="C40" s="443">
        <v>0.5</v>
      </c>
      <c r="D40" s="344"/>
      <c r="E40" s="344"/>
      <c r="F40" s="344"/>
      <c r="G40" s="344"/>
    </row>
    <row r="41" spans="2:8" ht="15.75" thickBot="1">
      <c r="B41" s="444" t="s">
        <v>4</v>
      </c>
      <c r="C41" s="445">
        <v>0.35</v>
      </c>
      <c r="D41" s="344"/>
      <c r="E41" s="344"/>
      <c r="F41" s="344"/>
      <c r="G41" s="344"/>
    </row>
    <row r="42" spans="2:8">
      <c r="B42" s="312"/>
      <c r="C42" s="312"/>
      <c r="D42" s="312"/>
      <c r="E42" s="312"/>
      <c r="F42" s="312"/>
      <c r="G42" s="312"/>
    </row>
    <row r="43" spans="2:8">
      <c r="B43" s="312"/>
      <c r="C43" s="312"/>
      <c r="D43" s="312"/>
      <c r="E43" s="312"/>
      <c r="F43" s="312"/>
      <c r="G43" s="312"/>
    </row>
    <row r="44" spans="2:8">
      <c r="B44" s="312"/>
      <c r="C44" s="312"/>
      <c r="D44" s="312"/>
      <c r="E44" s="312"/>
      <c r="F44" s="312"/>
      <c r="G44" s="312"/>
    </row>
    <row r="45" spans="2:8">
      <c r="B45" s="312"/>
      <c r="C45" s="312"/>
      <c r="D45" s="312"/>
      <c r="E45" s="312"/>
      <c r="F45" s="312"/>
      <c r="G45" s="312"/>
    </row>
    <row r="46" spans="2:8">
      <c r="B46" s="312"/>
      <c r="C46" s="312"/>
      <c r="D46" s="312"/>
      <c r="E46" s="312"/>
      <c r="F46" s="312"/>
      <c r="G46" s="312"/>
    </row>
    <row r="47" spans="2:8">
      <c r="B47" s="312"/>
      <c r="C47" s="312"/>
      <c r="D47" s="312"/>
      <c r="E47" s="312"/>
      <c r="F47" s="312"/>
      <c r="G47" s="312"/>
    </row>
    <row r="48" spans="2:8">
      <c r="B48" s="312"/>
      <c r="C48" s="312"/>
      <c r="D48" s="312"/>
      <c r="E48" s="312"/>
      <c r="F48" s="312"/>
      <c r="G48" s="312"/>
    </row>
    <row r="49" spans="2:7">
      <c r="B49" s="312"/>
      <c r="C49" s="312"/>
      <c r="D49" s="312"/>
      <c r="E49" s="312"/>
      <c r="F49" s="312"/>
      <c r="G49" s="312"/>
    </row>
    <row r="50" spans="2:7">
      <c r="B50" s="312"/>
      <c r="C50" s="312"/>
      <c r="D50" s="312"/>
      <c r="E50" s="312"/>
      <c r="F50" s="312"/>
      <c r="G50" s="312"/>
    </row>
    <row r="51" spans="2:7">
      <c r="B51" s="312"/>
      <c r="C51" s="312"/>
      <c r="D51" s="312"/>
      <c r="E51" s="312"/>
      <c r="F51" s="312"/>
      <c r="G51" s="312"/>
    </row>
    <row r="52" spans="2:7">
      <c r="B52" s="312"/>
      <c r="C52" s="312"/>
      <c r="D52" s="312"/>
      <c r="E52" s="312"/>
      <c r="F52" s="312"/>
      <c r="G52" s="312"/>
    </row>
    <row r="53" spans="2:7">
      <c r="B53" s="312"/>
      <c r="C53" s="312"/>
      <c r="D53" s="312"/>
      <c r="E53" s="312"/>
      <c r="F53" s="312"/>
      <c r="G53" s="312"/>
    </row>
    <row r="54" spans="2:7">
      <c r="B54" s="312"/>
      <c r="C54" s="312"/>
      <c r="D54" s="312"/>
      <c r="E54" s="312"/>
      <c r="F54" s="312"/>
      <c r="G54" s="312"/>
    </row>
    <row r="55" spans="2:7">
      <c r="B55" s="312"/>
      <c r="C55" s="312"/>
      <c r="D55" s="312"/>
      <c r="E55" s="312"/>
      <c r="F55" s="312"/>
      <c r="G55" s="312"/>
    </row>
    <row r="56" spans="2:7">
      <c r="B56" s="312"/>
      <c r="C56" s="312"/>
      <c r="D56" s="312"/>
      <c r="E56" s="312"/>
      <c r="F56" s="312"/>
      <c r="G56" s="312"/>
    </row>
    <row r="57" spans="2:7">
      <c r="B57" s="312"/>
      <c r="C57" s="312"/>
      <c r="D57" s="312"/>
      <c r="E57" s="312"/>
      <c r="F57" s="312"/>
      <c r="G57" s="312"/>
    </row>
    <row r="58" spans="2:7">
      <c r="B58" s="312"/>
      <c r="C58" s="312"/>
      <c r="D58" s="312"/>
      <c r="E58" s="312"/>
      <c r="F58" s="312"/>
      <c r="G58" s="312"/>
    </row>
    <row r="59" spans="2:7">
      <c r="B59" s="312"/>
      <c r="C59" s="312"/>
      <c r="D59" s="312"/>
      <c r="E59" s="312"/>
      <c r="F59" s="312"/>
      <c r="G59" s="312"/>
    </row>
    <row r="60" spans="2:7">
      <c r="B60" s="312"/>
      <c r="C60" s="312"/>
      <c r="D60" s="312"/>
      <c r="E60" s="312"/>
      <c r="F60" s="312"/>
      <c r="G60" s="312"/>
    </row>
    <row r="61" spans="2:7">
      <c r="B61" s="312"/>
      <c r="C61" s="312"/>
      <c r="D61" s="312"/>
      <c r="E61" s="312"/>
      <c r="F61" s="312"/>
      <c r="G61" s="312"/>
    </row>
    <row r="62" spans="2:7">
      <c r="B62" s="312"/>
      <c r="C62" s="312"/>
      <c r="D62" s="312"/>
      <c r="E62" s="312"/>
      <c r="F62" s="312"/>
      <c r="G62" s="312"/>
    </row>
    <row r="63" spans="2:7">
      <c r="B63" s="312"/>
      <c r="C63" s="312"/>
      <c r="D63" s="312"/>
      <c r="E63" s="312"/>
      <c r="F63" s="312"/>
      <c r="G63" s="312"/>
    </row>
    <row r="64" spans="2:7">
      <c r="B64" s="312"/>
      <c r="C64" s="312"/>
      <c r="D64" s="312"/>
      <c r="E64" s="312"/>
      <c r="F64" s="312"/>
      <c r="G64" s="312"/>
    </row>
  </sheetData>
  <mergeCells count="2">
    <mergeCell ref="B11:G11"/>
    <mergeCell ref="F14:H14"/>
  </mergeCells>
  <pageMargins left="0.7" right="0.7" top="0.75" bottom="0.75" header="0.3" footer="0.3"/>
  <pageSetup scale="75" orientation="portrait" verticalDpi="597"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J72"/>
  <sheetViews>
    <sheetView showGridLines="0" topLeftCell="B1" zoomScaleNormal="100" workbookViewId="0">
      <selection activeCell="G9" sqref="G9"/>
    </sheetView>
  </sheetViews>
  <sheetFormatPr baseColWidth="10" defaultRowHeight="15"/>
  <cols>
    <col min="1" max="1" width="4.7109375" style="321" customWidth="1"/>
    <col min="2" max="2" width="36.7109375" style="321" customWidth="1"/>
    <col min="3" max="7" width="15.7109375" style="321" customWidth="1"/>
    <col min="8" max="16384" width="11.42578125" style="321"/>
  </cols>
  <sheetData>
    <row r="1" spans="1:10" s="312" customFormat="1">
      <c r="B1" s="219" t="s">
        <v>171</v>
      </c>
      <c r="C1" s="344"/>
      <c r="D1" s="344"/>
      <c r="E1" s="344"/>
      <c r="F1" s="344"/>
      <c r="G1" s="344"/>
    </row>
    <row r="2" spans="1:10" s="312" customFormat="1">
      <c r="B2" s="219" t="s">
        <v>71</v>
      </c>
      <c r="C2" s="344"/>
      <c r="D2" s="344"/>
      <c r="E2" s="344"/>
      <c r="F2" s="344"/>
      <c r="G2" s="344"/>
    </row>
    <row r="3" spans="1:10" s="312" customFormat="1" ht="15.75">
      <c r="B3" s="366" t="s">
        <v>329</v>
      </c>
      <c r="C3" s="344"/>
      <c r="D3" s="340"/>
      <c r="E3" s="344"/>
      <c r="F3" s="340"/>
      <c r="G3" s="340"/>
    </row>
    <row r="4" spans="1:10" s="312" customFormat="1" ht="15.75" thickBot="1">
      <c r="B4" s="340"/>
      <c r="C4" s="340"/>
      <c r="D4" s="340"/>
      <c r="E4" s="340"/>
      <c r="F4" s="340"/>
      <c r="G4" s="340"/>
    </row>
    <row r="5" spans="1:10" ht="15.75" thickBot="1">
      <c r="B5" s="340"/>
      <c r="C5" s="341" t="s">
        <v>116</v>
      </c>
      <c r="D5" s="342"/>
      <c r="E5" s="342"/>
      <c r="F5" s="343"/>
      <c r="G5" s="344"/>
    </row>
    <row r="6" spans="1:10" ht="15.75" thickBot="1">
      <c r="B6" s="97" t="s">
        <v>16</v>
      </c>
      <c r="C6" s="236" t="s">
        <v>1</v>
      </c>
      <c r="D6" s="98" t="s">
        <v>2</v>
      </c>
      <c r="E6" s="98" t="s">
        <v>3</v>
      </c>
      <c r="F6" s="99" t="s">
        <v>4</v>
      </c>
      <c r="G6" s="100" t="s">
        <v>105</v>
      </c>
    </row>
    <row r="7" spans="1:10">
      <c r="B7" s="313" t="s">
        <v>103</v>
      </c>
      <c r="C7" s="151">
        <f>+G15</f>
        <v>13200000</v>
      </c>
      <c r="D7" s="384">
        <f>+G21</f>
        <v>1200000</v>
      </c>
      <c r="E7" s="384">
        <f>+G27</f>
        <v>13710000</v>
      </c>
      <c r="F7" s="315">
        <f>+G33</f>
        <v>5090000</v>
      </c>
      <c r="G7" s="316">
        <f>SUM(C7:F7)</f>
        <v>33200000</v>
      </c>
    </row>
    <row r="8" spans="1:10">
      <c r="B8" s="324" t="s">
        <v>104</v>
      </c>
      <c r="C8" s="153">
        <f>+G16</f>
        <v>13038074.179417776</v>
      </c>
      <c r="D8" s="387">
        <f>+G22</f>
        <v>1106037.3778033352</v>
      </c>
      <c r="E8" s="387">
        <f>+G28</f>
        <v>11145116.29812425</v>
      </c>
      <c r="F8" s="390">
        <f>+G34</f>
        <v>4515664.9064748203</v>
      </c>
      <c r="G8" s="391">
        <f t="shared" ref="G8:G9" si="0">SUM(C8:F8)</f>
        <v>29804892.761820182</v>
      </c>
    </row>
    <row r="9" spans="1:10" ht="15.75" thickBot="1">
      <c r="B9" s="326" t="s">
        <v>5</v>
      </c>
      <c r="C9" s="392">
        <f>+G17</f>
        <v>161925.82058222336</v>
      </c>
      <c r="D9" s="393">
        <f>+G23</f>
        <v>93962.622196664801</v>
      </c>
      <c r="E9" s="393">
        <f>+G29</f>
        <v>2564883.7018757486</v>
      </c>
      <c r="F9" s="394">
        <f>+G35</f>
        <v>574335.09352517966</v>
      </c>
      <c r="G9" s="395">
        <f t="shared" si="0"/>
        <v>3395107.2381798164</v>
      </c>
      <c r="H9" s="528"/>
      <c r="I9" s="529"/>
      <c r="J9" s="527"/>
    </row>
    <row r="10" spans="1:10" ht="3" customHeight="1">
      <c r="A10" s="312"/>
      <c r="B10" s="221"/>
      <c r="C10" s="320"/>
      <c r="D10" s="320"/>
      <c r="E10" s="320"/>
      <c r="F10" s="320"/>
      <c r="G10" s="320"/>
    </row>
    <row r="11" spans="1:10" ht="49.5" customHeight="1">
      <c r="A11" s="312"/>
      <c r="B11" s="925" t="s">
        <v>367</v>
      </c>
      <c r="C11" s="925"/>
      <c r="D11" s="925"/>
      <c r="E11" s="925"/>
      <c r="F11" s="925"/>
      <c r="G11" s="925"/>
    </row>
    <row r="12" spans="1:10" ht="9" customHeight="1" thickBot="1">
      <c r="A12" s="312"/>
      <c r="B12" s="340"/>
      <c r="C12" s="340"/>
      <c r="D12" s="340"/>
      <c r="E12" s="340"/>
      <c r="F12" s="340"/>
      <c r="G12" s="340"/>
    </row>
    <row r="13" spans="1:10" ht="15.75" thickBot="1">
      <c r="B13" s="97" t="s">
        <v>137</v>
      </c>
      <c r="C13" s="341" t="s">
        <v>117</v>
      </c>
      <c r="D13" s="342"/>
      <c r="E13" s="342"/>
      <c r="F13" s="343"/>
      <c r="G13" s="344"/>
    </row>
    <row r="14" spans="1:10" ht="15.75" thickBot="1">
      <c r="B14" s="97" t="s">
        <v>16</v>
      </c>
      <c r="C14" s="236" t="s">
        <v>326</v>
      </c>
      <c r="D14" s="98" t="s">
        <v>31</v>
      </c>
      <c r="E14" s="98" t="s">
        <v>32</v>
      </c>
      <c r="F14" s="99" t="s">
        <v>327</v>
      </c>
      <c r="G14" s="100" t="s">
        <v>105</v>
      </c>
    </row>
    <row r="15" spans="1:10">
      <c r="B15" s="313" t="s">
        <v>103</v>
      </c>
      <c r="C15" s="151">
        <f>+C49</f>
        <v>12700000</v>
      </c>
      <c r="D15" s="384">
        <f>+D49</f>
        <v>500000</v>
      </c>
      <c r="E15" s="384"/>
      <c r="F15" s="315"/>
      <c r="G15" s="316">
        <f>SUM(C15:F15)</f>
        <v>13200000</v>
      </c>
    </row>
    <row r="16" spans="1:10">
      <c r="B16" s="324" t="s">
        <v>104</v>
      </c>
      <c r="C16" s="609">
        <f>+C50</f>
        <v>12544170.254403131</v>
      </c>
      <c r="D16" s="610">
        <f>+D50</f>
        <v>493903.92501464556</v>
      </c>
      <c r="E16" s="387"/>
      <c r="F16" s="390"/>
      <c r="G16" s="391">
        <f t="shared" ref="G16:G17" si="1">SUM(C16:F16)</f>
        <v>13038074.179417776</v>
      </c>
    </row>
    <row r="17" spans="1:8" ht="15.75" thickBot="1">
      <c r="B17" s="326" t="s">
        <v>5</v>
      </c>
      <c r="C17" s="392">
        <f>+C15-C16</f>
        <v>155829.74559686892</v>
      </c>
      <c r="D17" s="393">
        <f t="shared" ref="D17:F17" si="2">+D15-D16</f>
        <v>6096.0749853544403</v>
      </c>
      <c r="E17" s="393">
        <f t="shared" si="2"/>
        <v>0</v>
      </c>
      <c r="F17" s="394">
        <f t="shared" si="2"/>
        <v>0</v>
      </c>
      <c r="G17" s="395">
        <f t="shared" si="1"/>
        <v>161925.82058222336</v>
      </c>
    </row>
    <row r="18" spans="1:8" ht="9" customHeight="1" thickBot="1">
      <c r="B18" s="396"/>
      <c r="C18" s="396"/>
      <c r="D18" s="396"/>
      <c r="E18" s="396"/>
      <c r="F18" s="396"/>
      <c r="G18" s="396"/>
    </row>
    <row r="19" spans="1:8" ht="15.75" thickBot="1">
      <c r="B19" s="97" t="s">
        <v>140</v>
      </c>
      <c r="C19" s="341" t="s">
        <v>118</v>
      </c>
      <c r="D19" s="342"/>
      <c r="E19" s="342"/>
      <c r="F19" s="343"/>
      <c r="G19" s="396"/>
    </row>
    <row r="20" spans="1:8" ht="15.75" thickBot="1">
      <c r="B20" s="97" t="s">
        <v>16</v>
      </c>
      <c r="C20" s="236" t="s">
        <v>326</v>
      </c>
      <c r="D20" s="98" t="s">
        <v>31</v>
      </c>
      <c r="E20" s="98" t="s">
        <v>32</v>
      </c>
      <c r="F20" s="99" t="s">
        <v>327</v>
      </c>
      <c r="G20" s="100" t="s">
        <v>105</v>
      </c>
    </row>
    <row r="21" spans="1:8">
      <c r="B21" s="313" t="s">
        <v>103</v>
      </c>
      <c r="C21" s="151">
        <f>+C56</f>
        <v>1200000</v>
      </c>
      <c r="D21" s="384"/>
      <c r="E21" s="384"/>
      <c r="F21" s="315"/>
      <c r="G21" s="316">
        <f>SUM(C21:F21)</f>
        <v>1200000</v>
      </c>
    </row>
    <row r="22" spans="1:8">
      <c r="B22" s="324" t="s">
        <v>104</v>
      </c>
      <c r="C22" s="611">
        <f>+C57</f>
        <v>1106037.3778033352</v>
      </c>
      <c r="D22" s="387"/>
      <c r="E22" s="387"/>
      <c r="F22" s="390"/>
      <c r="G22" s="391">
        <f t="shared" ref="G22:G23" si="3">SUM(C22:F22)</f>
        <v>1106037.3778033352</v>
      </c>
    </row>
    <row r="23" spans="1:8" ht="15.75" thickBot="1">
      <c r="B23" s="326" t="s">
        <v>5</v>
      </c>
      <c r="C23" s="392">
        <f t="shared" ref="C23:F23" si="4">+C21-C22</f>
        <v>93962.622196664801</v>
      </c>
      <c r="D23" s="393">
        <f t="shared" si="4"/>
        <v>0</v>
      </c>
      <c r="E23" s="393">
        <f t="shared" si="4"/>
        <v>0</v>
      </c>
      <c r="F23" s="394">
        <f t="shared" si="4"/>
        <v>0</v>
      </c>
      <c r="G23" s="395">
        <f t="shared" si="3"/>
        <v>93962.622196664801</v>
      </c>
      <c r="H23" s="398"/>
    </row>
    <row r="24" spans="1:8" ht="9" customHeight="1" thickBot="1">
      <c r="A24" s="312"/>
      <c r="B24" s="344"/>
      <c r="C24" s="344"/>
      <c r="D24" s="344"/>
      <c r="E24" s="344"/>
      <c r="F24" s="344"/>
      <c r="G24" s="344"/>
    </row>
    <row r="25" spans="1:8" ht="15.75" thickBot="1">
      <c r="B25" s="97" t="s">
        <v>139</v>
      </c>
      <c r="C25" s="341" t="s">
        <v>119</v>
      </c>
      <c r="D25" s="342"/>
      <c r="E25" s="342"/>
      <c r="F25" s="343"/>
      <c r="G25" s="344"/>
    </row>
    <row r="26" spans="1:8" ht="15.75" thickBot="1">
      <c r="B26" s="97" t="s">
        <v>16</v>
      </c>
      <c r="C26" s="236" t="s">
        <v>326</v>
      </c>
      <c r="D26" s="98" t="s">
        <v>31</v>
      </c>
      <c r="E26" s="98" t="s">
        <v>32</v>
      </c>
      <c r="F26" s="99" t="s">
        <v>327</v>
      </c>
      <c r="G26" s="100" t="s">
        <v>105</v>
      </c>
    </row>
    <row r="27" spans="1:8">
      <c r="B27" s="313" t="s">
        <v>103</v>
      </c>
      <c r="C27" s="383">
        <f>+C63</f>
        <v>10700000</v>
      </c>
      <c r="D27" s="314"/>
      <c r="E27" s="314">
        <f>+E63</f>
        <v>1920000</v>
      </c>
      <c r="F27" s="399">
        <f>+F63</f>
        <v>1090000</v>
      </c>
      <c r="G27" s="316">
        <f>SUM(C27:F27)</f>
        <v>13710000</v>
      </c>
    </row>
    <row r="28" spans="1:8">
      <c r="B28" s="324" t="s">
        <v>104</v>
      </c>
      <c r="C28" s="612">
        <f>+C64</f>
        <v>8935680.1839857325</v>
      </c>
      <c r="D28" s="401"/>
      <c r="E28" s="565">
        <f>+E64</f>
        <v>1542375.6074321107</v>
      </c>
      <c r="F28" s="613">
        <f>+F64</f>
        <v>667060.50670640822</v>
      </c>
      <c r="G28" s="391">
        <f t="shared" ref="G28:G29" si="5">SUM(C28:F28)</f>
        <v>11145116.29812425</v>
      </c>
    </row>
    <row r="29" spans="1:8" ht="15.75" thickBot="1">
      <c r="B29" s="326" t="s">
        <v>5</v>
      </c>
      <c r="C29" s="403">
        <f t="shared" ref="C29:F29" si="6">+C27-C28</f>
        <v>1764319.8160142675</v>
      </c>
      <c r="D29" s="404">
        <f t="shared" si="6"/>
        <v>0</v>
      </c>
      <c r="E29" s="404">
        <f t="shared" si="6"/>
        <v>377624.3925678893</v>
      </c>
      <c r="F29" s="405">
        <f t="shared" si="6"/>
        <v>422939.49329359178</v>
      </c>
      <c r="G29" s="395">
        <f t="shared" si="5"/>
        <v>2564883.7018757486</v>
      </c>
    </row>
    <row r="30" spans="1:8" ht="9" customHeight="1" thickBot="1">
      <c r="B30" s="396"/>
      <c r="C30" s="396"/>
      <c r="D30" s="396"/>
      <c r="E30" s="396"/>
      <c r="F30" s="396"/>
      <c r="G30" s="396"/>
    </row>
    <row r="31" spans="1:8" ht="15.75" thickBot="1">
      <c r="B31" s="97" t="s">
        <v>138</v>
      </c>
      <c r="C31" s="341" t="s">
        <v>120</v>
      </c>
      <c r="D31" s="342"/>
      <c r="E31" s="342"/>
      <c r="F31" s="343"/>
      <c r="G31" s="396"/>
    </row>
    <row r="32" spans="1:8" ht="15.75" thickBot="1">
      <c r="B32" s="97" t="s">
        <v>16</v>
      </c>
      <c r="C32" s="236" t="s">
        <v>326</v>
      </c>
      <c r="D32" s="98" t="s">
        <v>31</v>
      </c>
      <c r="E32" s="98" t="s">
        <v>32</v>
      </c>
      <c r="F32" s="99" t="s">
        <v>327</v>
      </c>
      <c r="G32" s="100" t="s">
        <v>105</v>
      </c>
    </row>
    <row r="33" spans="2:10">
      <c r="B33" s="313" t="s">
        <v>103</v>
      </c>
      <c r="C33" s="383"/>
      <c r="D33" s="314">
        <f>+D70</f>
        <v>5090000</v>
      </c>
      <c r="E33" s="314">
        <f>+E70</f>
        <v>0</v>
      </c>
      <c r="F33" s="399"/>
      <c r="G33" s="316">
        <f>SUM(C33:F33)</f>
        <v>5090000</v>
      </c>
    </row>
    <row r="34" spans="2:10">
      <c r="B34" s="324" t="s">
        <v>104</v>
      </c>
      <c r="C34" s="400"/>
      <c r="D34" s="565">
        <f>+D71</f>
        <v>4515664.9064748203</v>
      </c>
      <c r="E34" s="565">
        <f>+E71</f>
        <v>0</v>
      </c>
      <c r="F34" s="402"/>
      <c r="G34" s="391">
        <f t="shared" ref="G34:G35" si="7">SUM(C34:F34)</f>
        <v>4515664.9064748203</v>
      </c>
      <c r="H34"/>
      <c r="I34"/>
      <c r="J34"/>
    </row>
    <row r="35" spans="2:10" ht="15.75" thickBot="1">
      <c r="B35" s="326" t="s">
        <v>5</v>
      </c>
      <c r="C35" s="403">
        <f t="shared" ref="C35:F35" si="8">+C33-C34</f>
        <v>0</v>
      </c>
      <c r="D35" s="404">
        <f t="shared" si="8"/>
        <v>574335.09352517966</v>
      </c>
      <c r="E35" s="404">
        <f t="shared" si="8"/>
        <v>0</v>
      </c>
      <c r="F35" s="405">
        <f t="shared" si="8"/>
        <v>0</v>
      </c>
      <c r="G35" s="395">
        <f t="shared" si="7"/>
        <v>574335.09352517966</v>
      </c>
    </row>
    <row r="36" spans="2:10" s="312" customFormat="1" ht="9" customHeight="1" thickBot="1">
      <c r="B36" s="344"/>
      <c r="C36" s="344"/>
      <c r="D36" s="344"/>
      <c r="E36" s="344"/>
      <c r="F36" s="344"/>
      <c r="G36" s="344"/>
    </row>
    <row r="37" spans="2:10" ht="45.75" customHeight="1" thickBot="1">
      <c r="B37" s="929" t="s">
        <v>56</v>
      </c>
      <c r="C37" s="931" t="s">
        <v>330</v>
      </c>
      <c r="D37" s="932"/>
      <c r="E37" s="932"/>
      <c r="F37" s="933"/>
      <c r="G37" s="344"/>
    </row>
    <row r="38" spans="2:10" ht="15.75" thickBot="1">
      <c r="B38" s="930"/>
      <c r="C38" s="439" t="s">
        <v>326</v>
      </c>
      <c r="D38" s="439" t="s">
        <v>31</v>
      </c>
      <c r="E38" s="439" t="s">
        <v>32</v>
      </c>
      <c r="F38" s="439" t="s">
        <v>327</v>
      </c>
      <c r="G38" s="344"/>
    </row>
    <row r="39" spans="2:10">
      <c r="B39" s="446" t="s">
        <v>1</v>
      </c>
      <c r="C39" s="447">
        <v>1</v>
      </c>
      <c r="D39" s="447">
        <v>1.2</v>
      </c>
      <c r="E39" s="447">
        <v>1.5</v>
      </c>
      <c r="F39" s="447">
        <v>2</v>
      </c>
      <c r="G39" s="344"/>
    </row>
    <row r="40" spans="2:10">
      <c r="B40" s="448" t="s">
        <v>2</v>
      </c>
      <c r="C40" s="449">
        <v>0.75</v>
      </c>
      <c r="D40" s="449">
        <v>0.9</v>
      </c>
      <c r="E40" s="449">
        <v>1.1299999999999999</v>
      </c>
      <c r="F40" s="449">
        <v>1.5</v>
      </c>
      <c r="G40" s="344"/>
    </row>
    <row r="41" spans="2:10">
      <c r="B41" s="448" t="s">
        <v>57</v>
      </c>
      <c r="C41" s="449">
        <v>0.5</v>
      </c>
      <c r="D41" s="449">
        <v>0.6</v>
      </c>
      <c r="E41" s="449">
        <v>0.75</v>
      </c>
      <c r="F41" s="449">
        <v>1</v>
      </c>
      <c r="G41" s="344"/>
    </row>
    <row r="42" spans="2:10" ht="15.75" thickBot="1">
      <c r="B42" s="450" t="s">
        <v>4</v>
      </c>
      <c r="C42" s="451">
        <v>0.35</v>
      </c>
      <c r="D42" s="451">
        <v>0.42</v>
      </c>
      <c r="E42" s="451">
        <v>0.53</v>
      </c>
      <c r="F42" s="451">
        <v>0.7</v>
      </c>
      <c r="G42" s="344"/>
    </row>
    <row r="43" spans="2:10">
      <c r="B43" s="312"/>
      <c r="C43" s="312"/>
      <c r="D43" s="312"/>
      <c r="E43" s="312"/>
      <c r="F43" s="312"/>
      <c r="G43" s="312"/>
    </row>
    <row r="44" spans="2:10" ht="15.75" thickBot="1">
      <c r="B44" s="312"/>
      <c r="C44" s="312"/>
      <c r="D44" s="312"/>
      <c r="E44" s="312"/>
      <c r="F44" s="312"/>
      <c r="G44" s="312"/>
    </row>
    <row r="45" spans="2:10">
      <c r="B45" s="614" t="s">
        <v>436</v>
      </c>
      <c r="C45" s="615">
        <v>0.56999999999999995</v>
      </c>
      <c r="D45" s="615">
        <v>0.43</v>
      </c>
      <c r="E45" s="616"/>
      <c r="F45" s="617"/>
      <c r="G45" s="312"/>
    </row>
    <row r="46" spans="2:10">
      <c r="B46" s="618" t="s">
        <v>437</v>
      </c>
      <c r="C46" s="619">
        <v>2.1999999999999999E-2</v>
      </c>
      <c r="D46" s="619">
        <v>2.4199999999999999E-2</v>
      </c>
      <c r="E46" s="430"/>
      <c r="F46" s="620"/>
      <c r="G46" s="312"/>
    </row>
    <row r="47" spans="2:10">
      <c r="B47" s="618" t="s">
        <v>438</v>
      </c>
      <c r="C47" s="621">
        <f>+C39</f>
        <v>1</v>
      </c>
      <c r="D47" s="621">
        <f>+D39</f>
        <v>1.2</v>
      </c>
      <c r="E47" s="430"/>
      <c r="F47" s="620"/>
      <c r="G47" s="312"/>
    </row>
    <row r="48" spans="2:10">
      <c r="B48" s="618" t="s">
        <v>439</v>
      </c>
      <c r="C48" s="622">
        <f>+(C45/(1+C46)*(C46*(1+C47)-C46))</f>
        <v>1.2270058708414871E-2</v>
      </c>
      <c r="D48" s="622">
        <f>+(D45/(1+D46)*(D46*(1+D47)-D46))</f>
        <v>1.2192149970708848E-2</v>
      </c>
      <c r="E48" s="430"/>
      <c r="F48" s="620"/>
      <c r="G48" s="312"/>
    </row>
    <row r="49" spans="2:7">
      <c r="B49" s="618" t="s">
        <v>440</v>
      </c>
      <c r="C49" s="623">
        <v>12700000</v>
      </c>
      <c r="D49" s="623">
        <v>500000</v>
      </c>
      <c r="E49" s="624"/>
      <c r="F49" s="620"/>
      <c r="G49" s="312"/>
    </row>
    <row r="50" spans="2:7">
      <c r="B50" s="618" t="s">
        <v>441</v>
      </c>
      <c r="C50" s="625">
        <f>+C49*(1-C48)</f>
        <v>12544170.254403131</v>
      </c>
      <c r="D50" s="625">
        <f t="shared" ref="D50" si="9">+D49*(1-D48)</f>
        <v>493903.92501464556</v>
      </c>
      <c r="E50" s="430"/>
      <c r="F50" s="620"/>
      <c r="G50" s="312"/>
    </row>
    <row r="51" spans="2:7">
      <c r="B51" s="626"/>
      <c r="C51" s="430"/>
      <c r="D51" s="430"/>
      <c r="E51" s="430"/>
      <c r="F51" s="620"/>
      <c r="G51" s="312"/>
    </row>
    <row r="52" spans="2:7">
      <c r="B52" s="618" t="s">
        <v>436</v>
      </c>
      <c r="C52" s="549">
        <v>2.5099999999999998</v>
      </c>
      <c r="D52" s="430"/>
      <c r="E52" s="430"/>
      <c r="F52" s="620"/>
      <c r="G52" s="312"/>
    </row>
    <row r="53" spans="2:7">
      <c r="B53" s="618" t="s">
        <v>437</v>
      </c>
      <c r="C53" s="619">
        <v>4.3400000000000001E-2</v>
      </c>
      <c r="D53" s="430"/>
      <c r="E53" s="430"/>
      <c r="F53" s="620"/>
      <c r="G53" s="312"/>
    </row>
    <row r="54" spans="2:7">
      <c r="B54" s="618" t="s">
        <v>438</v>
      </c>
      <c r="C54" s="621">
        <f>+C40</f>
        <v>0.75</v>
      </c>
      <c r="D54" s="430"/>
      <c r="E54" s="430"/>
      <c r="F54" s="620"/>
      <c r="G54" s="312"/>
    </row>
    <row r="55" spans="2:7">
      <c r="B55" s="618" t="s">
        <v>439</v>
      </c>
      <c r="C55" s="622">
        <f>+(C52/(1+C53)*(C53*(1+C54)-C53))</f>
        <v>7.8302185163887275E-2</v>
      </c>
      <c r="D55" s="430"/>
      <c r="E55" s="430"/>
      <c r="F55" s="620"/>
      <c r="G55" s="312"/>
    </row>
    <row r="56" spans="2:7">
      <c r="B56" s="618" t="s">
        <v>440</v>
      </c>
      <c r="C56" s="623">
        <v>1200000</v>
      </c>
      <c r="D56" s="430"/>
      <c r="E56" s="430"/>
      <c r="F56" s="620"/>
      <c r="G56" s="312"/>
    </row>
    <row r="57" spans="2:7">
      <c r="B57" s="618" t="s">
        <v>441</v>
      </c>
      <c r="C57" s="625">
        <f>+C56*(1-C55)</f>
        <v>1106037.3778033352</v>
      </c>
      <c r="D57" s="430"/>
      <c r="E57" s="430"/>
      <c r="F57" s="620"/>
      <c r="G57" s="312"/>
    </row>
    <row r="58" spans="2:7">
      <c r="B58" s="626"/>
      <c r="C58" s="430"/>
      <c r="D58" s="430"/>
      <c r="E58" s="430"/>
      <c r="F58" s="620"/>
      <c r="G58" s="312"/>
    </row>
    <row r="59" spans="2:7">
      <c r="B59" s="618" t="s">
        <v>436</v>
      </c>
      <c r="C59" s="549">
        <v>5.38</v>
      </c>
      <c r="D59" s="328"/>
      <c r="E59" s="549">
        <v>5.56</v>
      </c>
      <c r="F59" s="627">
        <v>5.66</v>
      </c>
    </row>
    <row r="60" spans="2:7">
      <c r="B60" s="618" t="s">
        <v>437</v>
      </c>
      <c r="C60" s="619">
        <v>6.5299999999999997E-2</v>
      </c>
      <c r="D60" s="328"/>
      <c r="E60" s="619">
        <v>4.9500000000000002E-2</v>
      </c>
      <c r="F60" s="628">
        <v>7.3599999999999999E-2</v>
      </c>
    </row>
    <row r="61" spans="2:7">
      <c r="B61" s="618" t="s">
        <v>438</v>
      </c>
      <c r="C61" s="621">
        <f>+C41</f>
        <v>0.5</v>
      </c>
      <c r="D61" s="328"/>
      <c r="E61" s="621">
        <f>+E41</f>
        <v>0.75</v>
      </c>
      <c r="F61" s="629">
        <f>+F41</f>
        <v>1</v>
      </c>
    </row>
    <row r="62" spans="2:7">
      <c r="B62" s="618" t="s">
        <v>439</v>
      </c>
      <c r="C62" s="622">
        <f t="shared" ref="C62:F62" si="10">+(C59/(1+C60)*(C60*(1+C61)-C60))</f>
        <v>0.16488970243124002</v>
      </c>
      <c r="D62" s="328"/>
      <c r="E62" s="622">
        <f t="shared" si="10"/>
        <v>0.1966793711291091</v>
      </c>
      <c r="F62" s="630">
        <f t="shared" si="10"/>
        <v>0.38801788375558871</v>
      </c>
    </row>
    <row r="63" spans="2:7">
      <c r="B63" s="618" t="s">
        <v>440</v>
      </c>
      <c r="C63" s="623">
        <v>10700000</v>
      </c>
      <c r="D63" s="328"/>
      <c r="E63" s="623">
        <f>2920000-1000000</f>
        <v>1920000</v>
      </c>
      <c r="F63" s="599">
        <v>1090000</v>
      </c>
    </row>
    <row r="64" spans="2:7">
      <c r="B64" s="618" t="s">
        <v>441</v>
      </c>
      <c r="C64" s="625">
        <f>+C63*(1-C62)</f>
        <v>8935680.1839857325</v>
      </c>
      <c r="D64" s="328"/>
      <c r="E64" s="625">
        <f t="shared" ref="E64:F64" si="11">+E63*(1-E62)</f>
        <v>1542375.6074321107</v>
      </c>
      <c r="F64" s="631">
        <f t="shared" si="11"/>
        <v>667060.50670640822</v>
      </c>
    </row>
    <row r="65" spans="2:6">
      <c r="B65" s="601"/>
      <c r="C65" s="328"/>
      <c r="D65" s="328"/>
      <c r="E65" s="328"/>
      <c r="F65" s="602"/>
    </row>
    <row r="66" spans="2:6">
      <c r="B66" s="618" t="s">
        <v>436</v>
      </c>
      <c r="C66" s="328"/>
      <c r="D66" s="549">
        <v>6.59</v>
      </c>
      <c r="E66" s="549"/>
      <c r="F66" s="602"/>
    </row>
    <row r="67" spans="2:6">
      <c r="B67" s="618" t="s">
        <v>437</v>
      </c>
      <c r="C67" s="328"/>
      <c r="D67" s="619">
        <v>4.2500000000000003E-2</v>
      </c>
      <c r="E67" s="619"/>
      <c r="F67" s="602"/>
    </row>
    <row r="68" spans="2:6">
      <c r="B68" s="618" t="s">
        <v>438</v>
      </c>
      <c r="C68" s="328"/>
      <c r="D68" s="621">
        <f>+D42</f>
        <v>0.42</v>
      </c>
      <c r="E68" s="621"/>
      <c r="F68" s="602"/>
    </row>
    <row r="69" spans="2:6">
      <c r="B69" s="618" t="s">
        <v>439</v>
      </c>
      <c r="C69" s="328"/>
      <c r="D69" s="622">
        <f>+(D66/(1+D67)*(D67*(1+D68)-D67))</f>
        <v>0.11283597122302157</v>
      </c>
      <c r="E69" s="622"/>
      <c r="F69" s="602"/>
    </row>
    <row r="70" spans="2:6">
      <c r="B70" s="618" t="s">
        <v>440</v>
      </c>
      <c r="C70" s="328"/>
      <c r="D70" s="623">
        <v>5090000</v>
      </c>
      <c r="E70" s="625"/>
      <c r="F70" s="602"/>
    </row>
    <row r="71" spans="2:6" ht="15.75" thickBot="1">
      <c r="B71" s="632" t="s">
        <v>441</v>
      </c>
      <c r="C71" s="633"/>
      <c r="D71" s="634">
        <f>+D70*(1-D69)</f>
        <v>4515664.9064748203</v>
      </c>
      <c r="E71" s="634"/>
      <c r="F71" s="635"/>
    </row>
    <row r="72" spans="2:6">
      <c r="E72" s="521"/>
    </row>
  </sheetData>
  <mergeCells count="3">
    <mergeCell ref="B11:G11"/>
    <mergeCell ref="B37:B38"/>
    <mergeCell ref="C37:F37"/>
  </mergeCells>
  <pageMargins left="0.7" right="0.7" top="0.75" bottom="0.75" header="0.3" footer="0.3"/>
  <pageSetup scale="75" orientation="portrait" verticalDpi="597"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H60"/>
  <sheetViews>
    <sheetView zoomScaleNormal="100" workbookViewId="0">
      <selection activeCell="G9" sqref="G9"/>
    </sheetView>
  </sheetViews>
  <sheetFormatPr baseColWidth="10" defaultRowHeight="15"/>
  <cols>
    <col min="1" max="1" width="4.7109375" style="321" customWidth="1"/>
    <col min="2" max="2" width="36.7109375" style="321" customWidth="1"/>
    <col min="3" max="7" width="15.7109375" style="321" customWidth="1"/>
    <col min="8" max="16384" width="11.42578125" style="321"/>
  </cols>
  <sheetData>
    <row r="1" spans="1:7" s="312" customFormat="1">
      <c r="B1" s="219" t="s">
        <v>171</v>
      </c>
      <c r="C1" s="344"/>
      <c r="D1" s="344"/>
      <c r="E1" s="344"/>
      <c r="F1" s="344"/>
      <c r="G1" s="344"/>
    </row>
    <row r="2" spans="1:7" s="312" customFormat="1">
      <c r="B2" s="219" t="s">
        <v>71</v>
      </c>
      <c r="C2" s="344"/>
      <c r="D2" s="344"/>
      <c r="E2" s="344"/>
      <c r="F2" s="344"/>
      <c r="G2" s="344"/>
    </row>
    <row r="3" spans="1:7" s="312" customFormat="1" ht="15.75">
      <c r="B3" s="366" t="s">
        <v>331</v>
      </c>
      <c r="C3" s="344"/>
      <c r="D3" s="340"/>
      <c r="E3" s="344"/>
      <c r="F3" s="340"/>
      <c r="G3" s="340"/>
    </row>
    <row r="4" spans="1:7" s="312" customFormat="1" ht="15.75" thickBot="1">
      <c r="B4" s="340"/>
      <c r="C4" s="340"/>
      <c r="D4" s="340"/>
      <c r="E4" s="340"/>
      <c r="F4" s="340"/>
      <c r="G4" s="340"/>
    </row>
    <row r="5" spans="1:7" ht="15.75" thickBot="1">
      <c r="B5" s="340"/>
      <c r="C5" s="341" t="s">
        <v>116</v>
      </c>
      <c r="D5" s="342"/>
      <c r="E5" s="342"/>
      <c r="F5" s="343"/>
      <c r="G5" s="344"/>
    </row>
    <row r="6" spans="1:7" ht="15.75" thickBot="1">
      <c r="B6" s="97" t="s">
        <v>16</v>
      </c>
      <c r="C6" s="236" t="s">
        <v>1</v>
      </c>
      <c r="D6" s="98" t="s">
        <v>2</v>
      </c>
      <c r="E6" s="98" t="s">
        <v>3</v>
      </c>
      <c r="F6" s="99" t="s">
        <v>4</v>
      </c>
      <c r="G6" s="100" t="s">
        <v>105</v>
      </c>
    </row>
    <row r="7" spans="1:7">
      <c r="B7" s="313" t="s">
        <v>103</v>
      </c>
      <c r="C7" s="151">
        <f>+G15</f>
        <v>0</v>
      </c>
      <c r="D7" s="384">
        <f>+G21</f>
        <v>0</v>
      </c>
      <c r="E7" s="384">
        <f>+G27</f>
        <v>300000</v>
      </c>
      <c r="F7" s="315">
        <f>+G33</f>
        <v>0</v>
      </c>
      <c r="G7" s="316">
        <f>SUM(C7:F7)</f>
        <v>300000</v>
      </c>
    </row>
    <row r="8" spans="1:7">
      <c r="B8" s="324" t="s">
        <v>104</v>
      </c>
      <c r="C8" s="153">
        <f>+G16</f>
        <v>0</v>
      </c>
      <c r="D8" s="387">
        <f>+G22</f>
        <v>0</v>
      </c>
      <c r="E8" s="387">
        <f>+G28</f>
        <v>222301.93637834664</v>
      </c>
      <c r="F8" s="390">
        <f>+G34</f>
        <v>0</v>
      </c>
      <c r="G8" s="391">
        <f t="shared" ref="G8:G9" si="0">SUM(C8:F8)</f>
        <v>222301.93637834664</v>
      </c>
    </row>
    <row r="9" spans="1:7" ht="15.75" thickBot="1">
      <c r="B9" s="326" t="s">
        <v>5</v>
      </c>
      <c r="C9" s="392">
        <f>+G17</f>
        <v>0</v>
      </c>
      <c r="D9" s="393">
        <f>+G23</f>
        <v>0</v>
      </c>
      <c r="E9" s="393">
        <f>+G29</f>
        <v>77698.063621653331</v>
      </c>
      <c r="F9" s="394">
        <f>+G35</f>
        <v>0</v>
      </c>
      <c r="G9" s="395">
        <f t="shared" si="0"/>
        <v>77698.063621653331</v>
      </c>
    </row>
    <row r="10" spans="1:7" ht="3" customHeight="1">
      <c r="A10" s="312"/>
      <c r="B10" s="221"/>
      <c r="C10" s="320"/>
      <c r="D10" s="320"/>
      <c r="E10" s="320"/>
      <c r="F10" s="320"/>
      <c r="G10" s="320"/>
    </row>
    <row r="11" spans="1:7" ht="49.5" customHeight="1">
      <c r="A11" s="312"/>
      <c r="B11" s="925" t="s">
        <v>367</v>
      </c>
      <c r="C11" s="925"/>
      <c r="D11" s="925"/>
      <c r="E11" s="925"/>
      <c r="F11" s="925"/>
      <c r="G11" s="925"/>
    </row>
    <row r="12" spans="1:7" ht="9" customHeight="1" thickBot="1">
      <c r="A12" s="312"/>
      <c r="B12" s="340"/>
      <c r="C12" s="340"/>
      <c r="D12" s="340"/>
      <c r="E12" s="340"/>
      <c r="F12" s="340"/>
      <c r="G12" s="340"/>
    </row>
    <row r="13" spans="1:7" ht="15.75" thickBot="1">
      <c r="B13" s="97" t="s">
        <v>335</v>
      </c>
      <c r="C13" s="341" t="s">
        <v>117</v>
      </c>
      <c r="D13" s="342"/>
      <c r="E13" s="342"/>
      <c r="F13" s="343"/>
      <c r="G13" s="344"/>
    </row>
    <row r="14" spans="1:7" ht="15.75" thickBot="1">
      <c r="B14" s="97" t="s">
        <v>16</v>
      </c>
      <c r="C14" s="236" t="s">
        <v>326</v>
      </c>
      <c r="D14" s="98" t="s">
        <v>31</v>
      </c>
      <c r="E14" s="98" t="s">
        <v>32</v>
      </c>
      <c r="F14" s="99" t="s">
        <v>327</v>
      </c>
      <c r="G14" s="100" t="s">
        <v>105</v>
      </c>
    </row>
    <row r="15" spans="1:7">
      <c r="B15" s="313" t="s">
        <v>103</v>
      </c>
      <c r="C15" s="151"/>
      <c r="D15" s="384"/>
      <c r="E15" s="384"/>
      <c r="F15" s="315"/>
      <c r="G15" s="316">
        <f>SUM(C15:F15)</f>
        <v>0</v>
      </c>
    </row>
    <row r="16" spans="1:7">
      <c r="B16" s="324" t="s">
        <v>104</v>
      </c>
      <c r="C16" s="153"/>
      <c r="D16" s="387"/>
      <c r="E16" s="387"/>
      <c r="F16" s="390"/>
      <c r="G16" s="391">
        <f t="shared" ref="G16:G17" si="1">SUM(C16:F16)</f>
        <v>0</v>
      </c>
    </row>
    <row r="17" spans="1:8" ht="15.75" thickBot="1">
      <c r="B17" s="326" t="s">
        <v>5</v>
      </c>
      <c r="C17" s="392">
        <f>+C15-C16</f>
        <v>0</v>
      </c>
      <c r="D17" s="393">
        <f t="shared" ref="D17:F17" si="2">+D15-D16</f>
        <v>0</v>
      </c>
      <c r="E17" s="393">
        <f t="shared" si="2"/>
        <v>0</v>
      </c>
      <c r="F17" s="394">
        <f t="shared" si="2"/>
        <v>0</v>
      </c>
      <c r="G17" s="395">
        <f t="shared" si="1"/>
        <v>0</v>
      </c>
    </row>
    <row r="18" spans="1:8" ht="9" customHeight="1" thickBot="1">
      <c r="B18" s="396"/>
      <c r="C18" s="396"/>
      <c r="D18" s="396"/>
      <c r="E18" s="396"/>
      <c r="F18" s="396"/>
      <c r="G18" s="396"/>
    </row>
    <row r="19" spans="1:8" ht="15.75" thickBot="1">
      <c r="B19" s="97" t="s">
        <v>336</v>
      </c>
      <c r="C19" s="341" t="s">
        <v>118</v>
      </c>
      <c r="D19" s="342"/>
      <c r="E19" s="342"/>
      <c r="F19" s="343"/>
      <c r="G19" s="396"/>
    </row>
    <row r="20" spans="1:8" ht="15.75" thickBot="1">
      <c r="B20" s="97" t="s">
        <v>16</v>
      </c>
      <c r="C20" s="236" t="s">
        <v>326</v>
      </c>
      <c r="D20" s="98" t="s">
        <v>31</v>
      </c>
      <c r="E20" s="98" t="s">
        <v>32</v>
      </c>
      <c r="F20" s="99" t="s">
        <v>327</v>
      </c>
      <c r="G20" s="100" t="s">
        <v>105</v>
      </c>
    </row>
    <row r="21" spans="1:8">
      <c r="B21" s="313" t="s">
        <v>103</v>
      </c>
      <c r="C21" s="151"/>
      <c r="D21" s="384"/>
      <c r="E21" s="384"/>
      <c r="F21" s="315"/>
      <c r="G21" s="316">
        <f>SUM(C21:F21)</f>
        <v>0</v>
      </c>
    </row>
    <row r="22" spans="1:8">
      <c r="B22" s="324" t="s">
        <v>104</v>
      </c>
      <c r="C22" s="397"/>
      <c r="D22" s="387"/>
      <c r="E22" s="387"/>
      <c r="F22" s="390"/>
      <c r="G22" s="391">
        <f t="shared" ref="G22:G23" si="3">SUM(C22:F22)</f>
        <v>0</v>
      </c>
    </row>
    <row r="23" spans="1:8" ht="15.75" thickBot="1">
      <c r="B23" s="326" t="s">
        <v>5</v>
      </c>
      <c r="C23" s="392">
        <f t="shared" ref="C23:F23" si="4">+C21-C22</f>
        <v>0</v>
      </c>
      <c r="D23" s="393">
        <f t="shared" si="4"/>
        <v>0</v>
      </c>
      <c r="E23" s="393">
        <f t="shared" si="4"/>
        <v>0</v>
      </c>
      <c r="F23" s="394">
        <f t="shared" si="4"/>
        <v>0</v>
      </c>
      <c r="G23" s="395">
        <f t="shared" si="3"/>
        <v>0</v>
      </c>
      <c r="H23" s="398"/>
    </row>
    <row r="24" spans="1:8" ht="9" customHeight="1" thickBot="1">
      <c r="A24" s="312"/>
      <c r="B24" s="344"/>
      <c r="C24" s="344"/>
      <c r="D24" s="344"/>
      <c r="E24" s="344"/>
      <c r="F24" s="344"/>
      <c r="G24" s="344"/>
    </row>
    <row r="25" spans="1:8" ht="15.75" thickBot="1">
      <c r="B25" s="97" t="s">
        <v>337</v>
      </c>
      <c r="C25" s="341" t="s">
        <v>119</v>
      </c>
      <c r="D25" s="342"/>
      <c r="E25" s="342"/>
      <c r="F25" s="343"/>
      <c r="G25" s="344"/>
    </row>
    <row r="26" spans="1:8" ht="15.75" thickBot="1">
      <c r="B26" s="97" t="s">
        <v>16</v>
      </c>
      <c r="C26" s="236" t="s">
        <v>326</v>
      </c>
      <c r="D26" s="98" t="s">
        <v>31</v>
      </c>
      <c r="E26" s="98" t="s">
        <v>32</v>
      </c>
      <c r="F26" s="99" t="s">
        <v>327</v>
      </c>
      <c r="G26" s="100" t="s">
        <v>105</v>
      </c>
    </row>
    <row r="27" spans="1:8">
      <c r="B27" s="313" t="s">
        <v>103</v>
      </c>
      <c r="C27" s="638">
        <f>+C50</f>
        <v>115000</v>
      </c>
      <c r="D27" s="639">
        <f t="shared" ref="D27:F27" si="5">+D50</f>
        <v>85000</v>
      </c>
      <c r="E27" s="639">
        <f t="shared" si="5"/>
        <v>57000</v>
      </c>
      <c r="F27" s="640">
        <f t="shared" si="5"/>
        <v>43000</v>
      </c>
      <c r="G27" s="316">
        <f>SUM(C27:F27)</f>
        <v>300000</v>
      </c>
    </row>
    <row r="28" spans="1:8">
      <c r="B28" s="324" t="s">
        <v>104</v>
      </c>
      <c r="C28" s="612">
        <f>+C51</f>
        <v>99003.422007832662</v>
      </c>
      <c r="D28" s="565">
        <f t="shared" ref="D28:F28" si="6">+D51</f>
        <v>70687.481918538251</v>
      </c>
      <c r="E28" s="565">
        <f t="shared" si="6"/>
        <v>39743.462205466538</v>
      </c>
      <c r="F28" s="613">
        <f t="shared" si="6"/>
        <v>12867.570246509225</v>
      </c>
      <c r="G28" s="391">
        <f t="shared" ref="G28:G29" si="7">SUM(C28:F28)</f>
        <v>222301.93637834664</v>
      </c>
    </row>
    <row r="29" spans="1:8" ht="15.75" thickBot="1">
      <c r="B29" s="326" t="s">
        <v>5</v>
      </c>
      <c r="C29" s="403">
        <f t="shared" ref="C29:F29" si="8">+C27-C28</f>
        <v>15996.577992167338</v>
      </c>
      <c r="D29" s="404">
        <f t="shared" si="8"/>
        <v>14312.518081461749</v>
      </c>
      <c r="E29" s="404">
        <f t="shared" si="8"/>
        <v>17256.537794533462</v>
      </c>
      <c r="F29" s="405">
        <f t="shared" si="8"/>
        <v>30132.429753490775</v>
      </c>
      <c r="G29" s="395">
        <f t="shared" si="7"/>
        <v>77698.063621653331</v>
      </c>
    </row>
    <row r="30" spans="1:8" ht="9" customHeight="1" thickBot="1">
      <c r="B30" s="396"/>
      <c r="C30" s="396"/>
      <c r="D30" s="396"/>
      <c r="E30" s="396"/>
      <c r="F30" s="396"/>
      <c r="G30" s="396"/>
    </row>
    <row r="31" spans="1:8" ht="15.75" thickBot="1">
      <c r="B31" s="97" t="s">
        <v>338</v>
      </c>
      <c r="C31" s="341" t="s">
        <v>120</v>
      </c>
      <c r="D31" s="342"/>
      <c r="E31" s="342"/>
      <c r="F31" s="343"/>
      <c r="G31" s="396"/>
    </row>
    <row r="32" spans="1:8" ht="15.75" thickBot="1">
      <c r="B32" s="97" t="s">
        <v>16</v>
      </c>
      <c r="C32" s="236" t="s">
        <v>326</v>
      </c>
      <c r="D32" s="98" t="s">
        <v>31</v>
      </c>
      <c r="E32" s="98" t="s">
        <v>32</v>
      </c>
      <c r="F32" s="99" t="s">
        <v>327</v>
      </c>
      <c r="G32" s="100" t="s">
        <v>105</v>
      </c>
    </row>
    <row r="33" spans="2:7">
      <c r="B33" s="313" t="s">
        <v>103</v>
      </c>
      <c r="C33" s="383"/>
      <c r="D33" s="314"/>
      <c r="E33" s="314"/>
      <c r="F33" s="399"/>
      <c r="G33" s="316">
        <f>SUM(C33:F33)</f>
        <v>0</v>
      </c>
    </row>
    <row r="34" spans="2:7">
      <c r="B34" s="324" t="s">
        <v>104</v>
      </c>
      <c r="C34" s="400"/>
      <c r="D34" s="401"/>
      <c r="E34" s="401"/>
      <c r="F34" s="402"/>
      <c r="G34" s="391">
        <f t="shared" ref="G34:G35" si="9">SUM(C34:F34)</f>
        <v>0</v>
      </c>
    </row>
    <row r="35" spans="2:7" ht="15.75" thickBot="1">
      <c r="B35" s="326" t="s">
        <v>5</v>
      </c>
      <c r="C35" s="403">
        <f t="shared" ref="C35:F35" si="10">+C33-C34</f>
        <v>0</v>
      </c>
      <c r="D35" s="404">
        <f t="shared" si="10"/>
        <v>0</v>
      </c>
      <c r="E35" s="404">
        <f t="shared" si="10"/>
        <v>0</v>
      </c>
      <c r="F35" s="405">
        <f t="shared" si="10"/>
        <v>0</v>
      </c>
      <c r="G35" s="395">
        <f t="shared" si="9"/>
        <v>0</v>
      </c>
    </row>
    <row r="36" spans="2:7" s="312" customFormat="1" ht="9" customHeight="1" thickBot="1">
      <c r="B36" s="344"/>
      <c r="C36" s="344"/>
      <c r="D36" s="344"/>
      <c r="E36" s="344"/>
      <c r="F36" s="344"/>
      <c r="G36" s="344"/>
    </row>
    <row r="37" spans="2:7" ht="45.75" customHeight="1" thickBot="1">
      <c r="B37" s="929" t="s">
        <v>56</v>
      </c>
      <c r="C37" s="931" t="s">
        <v>330</v>
      </c>
      <c r="D37" s="932"/>
      <c r="E37" s="932"/>
      <c r="F37" s="933"/>
      <c r="G37" s="344"/>
    </row>
    <row r="38" spans="2:7" ht="15.75" thickBot="1">
      <c r="B38" s="930"/>
      <c r="C38" s="439" t="s">
        <v>326</v>
      </c>
      <c r="D38" s="439" t="s">
        <v>31</v>
      </c>
      <c r="E38" s="439" t="s">
        <v>32</v>
      </c>
      <c r="F38" s="439" t="s">
        <v>327</v>
      </c>
      <c r="G38" s="344"/>
    </row>
    <row r="39" spans="2:7">
      <c r="B39" s="446" t="s">
        <v>1</v>
      </c>
      <c r="C39" s="452">
        <v>1.5</v>
      </c>
      <c r="D39" s="447">
        <v>1.8</v>
      </c>
      <c r="E39" s="447">
        <v>2.25</v>
      </c>
      <c r="F39" s="447">
        <v>2.5</v>
      </c>
      <c r="G39" s="344"/>
    </row>
    <row r="40" spans="2:7">
      <c r="B40" s="448" t="s">
        <v>2</v>
      </c>
      <c r="C40" s="453">
        <v>1.1299999999999999</v>
      </c>
      <c r="D40" s="449">
        <v>1.35</v>
      </c>
      <c r="E40" s="449">
        <v>1.69</v>
      </c>
      <c r="F40" s="449">
        <v>1.88</v>
      </c>
      <c r="G40" s="344"/>
    </row>
    <row r="41" spans="2:7">
      <c r="B41" s="448" t="s">
        <v>57</v>
      </c>
      <c r="C41" s="453">
        <v>0.75</v>
      </c>
      <c r="D41" s="449">
        <v>0.9</v>
      </c>
      <c r="E41" s="449">
        <v>1.1299999999999999</v>
      </c>
      <c r="F41" s="449">
        <v>1.25</v>
      </c>
      <c r="G41" s="344"/>
    </row>
    <row r="42" spans="2:7" ht="15.75" thickBot="1">
      <c r="B42" s="450" t="s">
        <v>4</v>
      </c>
      <c r="C42" s="454">
        <v>0.53</v>
      </c>
      <c r="D42" s="451">
        <v>0.63</v>
      </c>
      <c r="E42" s="451">
        <v>0.79</v>
      </c>
      <c r="F42" s="451">
        <v>0.88</v>
      </c>
      <c r="G42" s="344"/>
    </row>
    <row r="43" spans="2:7">
      <c r="B43" s="312"/>
      <c r="C43" s="312"/>
      <c r="D43" s="312"/>
      <c r="E43" s="312"/>
      <c r="F43" s="312"/>
      <c r="G43" s="312"/>
    </row>
    <row r="44" spans="2:7" ht="15.75" thickBot="1">
      <c r="B44" s="312"/>
      <c r="C44" s="312"/>
      <c r="D44" s="312"/>
      <c r="E44" s="312"/>
      <c r="F44" s="312"/>
      <c r="G44" s="312"/>
    </row>
    <row r="45" spans="2:7">
      <c r="B45" s="614" t="s">
        <v>436</v>
      </c>
      <c r="C45" s="615">
        <v>4.1399999999999997</v>
      </c>
      <c r="D45" s="615">
        <v>3.87</v>
      </c>
      <c r="E45" s="615">
        <v>4.66</v>
      </c>
      <c r="F45" s="636">
        <v>4.0599999999999996</v>
      </c>
      <c r="G45" s="312"/>
    </row>
    <row r="46" spans="2:7">
      <c r="B46" s="618" t="s">
        <v>437</v>
      </c>
      <c r="C46" s="619">
        <v>4.6899999999999997E-2</v>
      </c>
      <c r="D46" s="619">
        <v>5.0799999999999998E-2</v>
      </c>
      <c r="E46" s="619">
        <v>6.0999999999999999E-2</v>
      </c>
      <c r="F46" s="628">
        <v>0.16020000000000001</v>
      </c>
      <c r="G46" s="312"/>
    </row>
    <row r="47" spans="2:7">
      <c r="B47" s="618" t="s">
        <v>438</v>
      </c>
      <c r="C47" s="621">
        <f>+C41</f>
        <v>0.75</v>
      </c>
      <c r="D47" s="621">
        <f t="shared" ref="D47:F47" si="11">+D41</f>
        <v>0.9</v>
      </c>
      <c r="E47" s="621">
        <f t="shared" si="11"/>
        <v>1.1299999999999999</v>
      </c>
      <c r="F47" s="629">
        <f t="shared" si="11"/>
        <v>1.25</v>
      </c>
      <c r="G47" s="312"/>
    </row>
    <row r="48" spans="2:7">
      <c r="B48" s="626"/>
      <c r="C48" s="430"/>
      <c r="D48" s="430"/>
      <c r="E48" s="430"/>
      <c r="F48" s="620"/>
      <c r="G48" s="312"/>
    </row>
    <row r="49" spans="2:7">
      <c r="B49" s="618" t="s">
        <v>439</v>
      </c>
      <c r="C49" s="622">
        <f>+(C45/(1+C46)*(C46*(1+C47)-C46))</f>
        <v>0.13910067819275956</v>
      </c>
      <c r="D49" s="622">
        <f t="shared" ref="D49:F49" si="12">+(D45/(1+D46)*(D46*(1+D47)-D46))</f>
        <v>0.1683825656642558</v>
      </c>
      <c r="E49" s="622">
        <f t="shared" si="12"/>
        <v>0.30274627709707824</v>
      </c>
      <c r="F49" s="630">
        <f t="shared" si="12"/>
        <v>0.70075418031373893</v>
      </c>
      <c r="G49" s="312"/>
    </row>
    <row r="50" spans="2:7">
      <c r="B50" s="618" t="s">
        <v>440</v>
      </c>
      <c r="C50" s="625">
        <v>115000</v>
      </c>
      <c r="D50" s="625">
        <v>85000</v>
      </c>
      <c r="E50" s="625">
        <v>57000</v>
      </c>
      <c r="F50" s="631">
        <v>43000</v>
      </c>
      <c r="G50" s="520"/>
    </row>
    <row r="51" spans="2:7" ht="15.75" thickBot="1">
      <c r="B51" s="632" t="s">
        <v>441</v>
      </c>
      <c r="C51" s="634">
        <f>+C50*(1-C49)</f>
        <v>99003.422007832662</v>
      </c>
      <c r="D51" s="634">
        <f t="shared" ref="D51:F51" si="13">+D50*(1-D49)</f>
        <v>70687.481918538251</v>
      </c>
      <c r="E51" s="634">
        <f t="shared" si="13"/>
        <v>39743.462205466538</v>
      </c>
      <c r="F51" s="637">
        <f t="shared" si="13"/>
        <v>12867.570246509225</v>
      </c>
      <c r="G51" s="312"/>
    </row>
    <row r="52" spans="2:7">
      <c r="B52" s="312"/>
      <c r="C52" s="312"/>
      <c r="D52" s="312"/>
      <c r="E52" s="312"/>
      <c r="F52" s="312"/>
      <c r="G52" s="312"/>
    </row>
    <row r="53" spans="2:7">
      <c r="B53" s="312"/>
      <c r="C53" s="312"/>
      <c r="D53" s="312"/>
      <c r="E53" s="312"/>
      <c r="F53" s="312"/>
      <c r="G53" s="312"/>
    </row>
    <row r="54" spans="2:7">
      <c r="B54" s="312"/>
      <c r="C54" s="312"/>
      <c r="D54" s="312"/>
      <c r="E54" s="312"/>
      <c r="F54" s="312"/>
      <c r="G54" s="312"/>
    </row>
    <row r="55" spans="2:7">
      <c r="B55" s="312"/>
      <c r="C55" s="312"/>
      <c r="D55" s="312"/>
      <c r="E55" s="312"/>
      <c r="F55" s="312"/>
      <c r="G55" s="312"/>
    </row>
    <row r="56" spans="2:7">
      <c r="B56" s="312"/>
      <c r="C56" s="312"/>
      <c r="D56" s="312"/>
      <c r="E56" s="312"/>
      <c r="F56" s="312"/>
      <c r="G56" s="312"/>
    </row>
    <row r="57" spans="2:7">
      <c r="B57" s="312"/>
      <c r="C57" s="312"/>
      <c r="D57" s="312"/>
      <c r="E57" s="312"/>
      <c r="F57" s="312"/>
      <c r="G57" s="312"/>
    </row>
    <row r="58" spans="2:7">
      <c r="B58" s="312"/>
      <c r="C58" s="312"/>
      <c r="D58" s="312"/>
      <c r="E58" s="312"/>
      <c r="F58" s="312"/>
      <c r="G58" s="312"/>
    </row>
    <row r="59" spans="2:7">
      <c r="B59" s="312"/>
      <c r="C59" s="312"/>
      <c r="D59" s="312"/>
      <c r="E59" s="312"/>
      <c r="F59" s="312"/>
      <c r="G59" s="312"/>
    </row>
    <row r="60" spans="2:7">
      <c r="B60" s="312"/>
      <c r="C60" s="312"/>
      <c r="D60" s="312"/>
      <c r="E60" s="312"/>
      <c r="F60" s="312"/>
      <c r="G60" s="312"/>
    </row>
  </sheetData>
  <mergeCells count="3">
    <mergeCell ref="B11:G11"/>
    <mergeCell ref="B37:B38"/>
    <mergeCell ref="C37:F37"/>
  </mergeCells>
  <pageMargins left="0.7" right="0.7" top="0.75" bottom="0.75" header="0.3" footer="0.3"/>
  <pageSetup scale="75" orientation="portrait" verticalDpi="597"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G64"/>
  <sheetViews>
    <sheetView showGridLines="0" zoomScaleNormal="100" workbookViewId="0">
      <selection activeCell="G9" sqref="G9"/>
    </sheetView>
  </sheetViews>
  <sheetFormatPr baseColWidth="10" defaultRowHeight="15"/>
  <cols>
    <col min="1" max="1" width="4.7109375" style="321" customWidth="1"/>
    <col min="2" max="2" width="36.7109375" style="321" customWidth="1"/>
    <col min="3" max="7" width="15.7109375" style="321" customWidth="1"/>
    <col min="8" max="16384" width="11.42578125" style="321"/>
  </cols>
  <sheetData>
    <row r="1" spans="1:7" s="312" customFormat="1">
      <c r="B1" s="219" t="s">
        <v>171</v>
      </c>
      <c r="C1" s="344"/>
      <c r="D1" s="344"/>
      <c r="E1" s="344"/>
      <c r="F1" s="344"/>
      <c r="G1" s="344"/>
    </row>
    <row r="2" spans="1:7" s="312" customFormat="1">
      <c r="B2" s="219" t="s">
        <v>71</v>
      </c>
      <c r="C2" s="344"/>
      <c r="D2" s="344"/>
      <c r="E2" s="344"/>
      <c r="F2" s="344"/>
      <c r="G2" s="344"/>
    </row>
    <row r="3" spans="1:7" s="312" customFormat="1" ht="15.75">
      <c r="B3" s="366" t="s">
        <v>332</v>
      </c>
      <c r="C3" s="344"/>
      <c r="D3" s="340"/>
      <c r="E3" s="344"/>
      <c r="F3" s="340"/>
      <c r="G3" s="340"/>
    </row>
    <row r="4" spans="1:7" s="312" customFormat="1" ht="15.75" thickBot="1">
      <c r="B4" s="340"/>
      <c r="C4" s="340"/>
      <c r="D4" s="340"/>
      <c r="E4" s="340"/>
      <c r="F4" s="340"/>
      <c r="G4" s="340"/>
    </row>
    <row r="5" spans="1:7" ht="15.75" thickBot="1">
      <c r="B5" s="340"/>
      <c r="C5" s="341" t="s">
        <v>116</v>
      </c>
      <c r="D5" s="342"/>
      <c r="E5" s="342"/>
      <c r="F5" s="343"/>
      <c r="G5" s="344"/>
    </row>
    <row r="6" spans="1:7" ht="15.75" thickBot="1">
      <c r="B6" s="97" t="s">
        <v>16</v>
      </c>
      <c r="C6" s="236" t="s">
        <v>1</v>
      </c>
      <c r="D6" s="98" t="s">
        <v>2</v>
      </c>
      <c r="E6" s="98" t="s">
        <v>3</v>
      </c>
      <c r="F6" s="99" t="s">
        <v>4</v>
      </c>
      <c r="G6" s="100" t="s">
        <v>105</v>
      </c>
    </row>
    <row r="7" spans="1:7">
      <c r="B7" s="313" t="s">
        <v>103</v>
      </c>
      <c r="C7" s="151">
        <f>+D15</f>
        <v>0</v>
      </c>
      <c r="D7" s="384">
        <f>+D21</f>
        <v>0</v>
      </c>
      <c r="E7" s="384">
        <f>+D27</f>
        <v>0</v>
      </c>
      <c r="F7" s="315">
        <f>+D33</f>
        <v>0</v>
      </c>
      <c r="G7" s="316">
        <f>SUM(C7:F7)</f>
        <v>0</v>
      </c>
    </row>
    <row r="8" spans="1:7">
      <c r="B8" s="324" t="s">
        <v>104</v>
      </c>
      <c r="C8" s="153">
        <f>+D16</f>
        <v>0</v>
      </c>
      <c r="D8" s="387">
        <f>+D22</f>
        <v>0</v>
      </c>
      <c r="E8" s="387">
        <f>+D28</f>
        <v>0</v>
      </c>
      <c r="F8" s="390">
        <f>+D34</f>
        <v>0</v>
      </c>
      <c r="G8" s="391">
        <f t="shared" ref="G8:G9" si="0">SUM(C8:F8)</f>
        <v>0</v>
      </c>
    </row>
    <row r="9" spans="1:7" ht="15.75" thickBot="1">
      <c r="B9" s="326" t="s">
        <v>5</v>
      </c>
      <c r="C9" s="392">
        <f>+D17</f>
        <v>0</v>
      </c>
      <c r="D9" s="393">
        <f>+D23</f>
        <v>0</v>
      </c>
      <c r="E9" s="393">
        <f>+D29</f>
        <v>0</v>
      </c>
      <c r="F9" s="394">
        <f>+D35</f>
        <v>0</v>
      </c>
      <c r="G9" s="395">
        <f t="shared" si="0"/>
        <v>0</v>
      </c>
    </row>
    <row r="10" spans="1:7" ht="3" customHeight="1">
      <c r="A10" s="312"/>
      <c r="B10" s="221"/>
      <c r="C10" s="320"/>
      <c r="D10" s="320"/>
      <c r="E10" s="320"/>
      <c r="F10" s="320"/>
      <c r="G10" s="320"/>
    </row>
    <row r="11" spans="1:7" ht="49.5" customHeight="1">
      <c r="A11" s="312"/>
      <c r="B11" s="925" t="s">
        <v>368</v>
      </c>
      <c r="C11" s="925"/>
      <c r="D11" s="925"/>
      <c r="E11" s="925"/>
      <c r="F11" s="925"/>
      <c r="G11" s="925"/>
    </row>
    <row r="12" spans="1:7" ht="9" customHeight="1" thickBot="1">
      <c r="A12" s="312"/>
      <c r="B12" s="340"/>
      <c r="C12" s="340"/>
      <c r="D12" s="340"/>
      <c r="E12" s="340"/>
      <c r="F12" s="340"/>
      <c r="G12" s="340"/>
    </row>
    <row r="13" spans="1:7" ht="15.75" thickBot="1">
      <c r="B13" s="97" t="s">
        <v>339</v>
      </c>
      <c r="D13" s="344"/>
    </row>
    <row r="14" spans="1:7" ht="39" thickBot="1">
      <c r="B14" s="97" t="s">
        <v>16</v>
      </c>
      <c r="C14" s="364" t="s">
        <v>117</v>
      </c>
      <c r="D14" s="100" t="s">
        <v>105</v>
      </c>
    </row>
    <row r="15" spans="1:7">
      <c r="B15" s="313" t="s">
        <v>103</v>
      </c>
      <c r="C15" s="372"/>
      <c r="D15" s="316">
        <f>SUM(C15:C15)</f>
        <v>0</v>
      </c>
    </row>
    <row r="16" spans="1:7">
      <c r="B16" s="324" t="s">
        <v>104</v>
      </c>
      <c r="C16" s="406"/>
      <c r="D16" s="391">
        <f>SUM(C16:C16)</f>
        <v>0</v>
      </c>
    </row>
    <row r="17" spans="1:5" ht="15.75" thickBot="1">
      <c r="B17" s="326" t="s">
        <v>5</v>
      </c>
      <c r="C17" s="407">
        <f>+C15-C16</f>
        <v>0</v>
      </c>
      <c r="D17" s="395">
        <f>SUM(C17:C17)</f>
        <v>0</v>
      </c>
    </row>
    <row r="18" spans="1:5" ht="9" customHeight="1" thickBot="1">
      <c r="B18" s="396"/>
      <c r="C18" s="396"/>
      <c r="D18" s="396"/>
    </row>
    <row r="19" spans="1:5" ht="15.75" thickBot="1">
      <c r="B19" s="97" t="s">
        <v>340</v>
      </c>
      <c r="D19" s="396"/>
    </row>
    <row r="20" spans="1:5" ht="39" thickBot="1">
      <c r="B20" s="97" t="s">
        <v>16</v>
      </c>
      <c r="C20" s="364" t="s">
        <v>118</v>
      </c>
      <c r="D20" s="100" t="s">
        <v>105</v>
      </c>
    </row>
    <row r="21" spans="1:5">
      <c r="B21" s="313" t="s">
        <v>103</v>
      </c>
      <c r="C21" s="372"/>
      <c r="D21" s="316">
        <f>SUM(C21:C21)</f>
        <v>0</v>
      </c>
    </row>
    <row r="22" spans="1:5">
      <c r="B22" s="324" t="s">
        <v>104</v>
      </c>
      <c r="C22" s="406"/>
      <c r="D22" s="391">
        <f>SUM(C22:C22)</f>
        <v>0</v>
      </c>
    </row>
    <row r="23" spans="1:5" ht="15.75" thickBot="1">
      <c r="B23" s="326" t="s">
        <v>5</v>
      </c>
      <c r="C23" s="407">
        <f t="shared" ref="C23" si="1">+C21-C22</f>
        <v>0</v>
      </c>
      <c r="D23" s="395">
        <f>SUM(C23:C23)</f>
        <v>0</v>
      </c>
      <c r="E23" s="398"/>
    </row>
    <row r="24" spans="1:5" ht="9" customHeight="1" thickBot="1">
      <c r="A24" s="312"/>
      <c r="B24" s="344"/>
      <c r="C24" s="344"/>
      <c r="D24" s="344"/>
    </row>
    <row r="25" spans="1:5" ht="15.75" thickBot="1">
      <c r="B25" s="97" t="s">
        <v>341</v>
      </c>
      <c r="D25" s="344"/>
    </row>
    <row r="26" spans="1:5" ht="51.75" thickBot="1">
      <c r="B26" s="97" t="s">
        <v>16</v>
      </c>
      <c r="C26" s="364" t="s">
        <v>119</v>
      </c>
      <c r="D26" s="100" t="s">
        <v>105</v>
      </c>
    </row>
    <row r="27" spans="1:5">
      <c r="B27" s="313" t="s">
        <v>103</v>
      </c>
      <c r="C27" s="372"/>
      <c r="D27" s="316">
        <f>SUM(C27:C27)</f>
        <v>0</v>
      </c>
    </row>
    <row r="28" spans="1:5">
      <c r="B28" s="324" t="s">
        <v>104</v>
      </c>
      <c r="C28" s="406"/>
      <c r="D28" s="391">
        <f>SUM(C28:C28)</f>
        <v>0</v>
      </c>
    </row>
    <row r="29" spans="1:5" ht="15.75" thickBot="1">
      <c r="B29" s="326" t="s">
        <v>5</v>
      </c>
      <c r="C29" s="407">
        <f t="shared" ref="C29" si="2">+C27-C28</f>
        <v>0</v>
      </c>
      <c r="D29" s="395">
        <f>SUM(C29:C29)</f>
        <v>0</v>
      </c>
    </row>
    <row r="30" spans="1:5" ht="9" customHeight="1" thickBot="1">
      <c r="B30" s="396"/>
      <c r="C30" s="396"/>
      <c r="D30" s="396"/>
    </row>
    <row r="31" spans="1:5" ht="15.75" thickBot="1">
      <c r="B31" s="97" t="s">
        <v>342</v>
      </c>
      <c r="D31" s="396"/>
    </row>
    <row r="32" spans="1:5" ht="39" thickBot="1">
      <c r="B32" s="97" t="s">
        <v>16</v>
      </c>
      <c r="C32" s="364" t="s">
        <v>120</v>
      </c>
      <c r="D32" s="100" t="s">
        <v>105</v>
      </c>
    </row>
    <row r="33" spans="2:7">
      <c r="B33" s="313" t="s">
        <v>103</v>
      </c>
      <c r="C33" s="372"/>
      <c r="D33" s="316">
        <f>SUM(C33:C33)</f>
        <v>0</v>
      </c>
    </row>
    <row r="34" spans="2:7">
      <c r="B34" s="324" t="s">
        <v>104</v>
      </c>
      <c r="C34" s="406"/>
      <c r="D34" s="391">
        <f>SUM(C34:C34)</f>
        <v>0</v>
      </c>
    </row>
    <row r="35" spans="2:7" ht="15.75" thickBot="1">
      <c r="B35" s="326" t="s">
        <v>5</v>
      </c>
      <c r="C35" s="407">
        <f t="shared" ref="C35" si="3">+C33-C34</f>
        <v>0</v>
      </c>
      <c r="D35" s="395">
        <f>SUM(C35:C35)</f>
        <v>0</v>
      </c>
    </row>
    <row r="36" spans="2:7" s="312" customFormat="1" ht="9" customHeight="1" thickBot="1">
      <c r="B36" s="344"/>
      <c r="C36" s="344"/>
      <c r="D36" s="344"/>
      <c r="E36" s="344"/>
      <c r="F36" s="344"/>
      <c r="G36" s="344"/>
    </row>
    <row r="37" spans="2:7" ht="78" thickBot="1">
      <c r="B37" s="408" t="s">
        <v>56</v>
      </c>
      <c r="C37" s="365" t="s">
        <v>330</v>
      </c>
      <c r="D37" s="344"/>
      <c r="E37" s="344"/>
      <c r="F37" s="344"/>
      <c r="G37" s="344"/>
    </row>
    <row r="38" spans="2:7">
      <c r="B38" s="440" t="s">
        <v>1</v>
      </c>
      <c r="C38" s="441">
        <v>1</v>
      </c>
      <c r="D38" s="344"/>
      <c r="E38" s="344"/>
      <c r="F38" s="344"/>
      <c r="G38" s="344"/>
    </row>
    <row r="39" spans="2:7">
      <c r="B39" s="442" t="s">
        <v>2</v>
      </c>
      <c r="C39" s="443">
        <v>0.75</v>
      </c>
      <c r="D39" s="344"/>
      <c r="E39" s="344"/>
      <c r="F39" s="344"/>
      <c r="G39" s="344"/>
    </row>
    <row r="40" spans="2:7">
      <c r="B40" s="442" t="s">
        <v>57</v>
      </c>
      <c r="C40" s="443">
        <v>0.5</v>
      </c>
      <c r="D40" s="344"/>
      <c r="E40" s="344"/>
      <c r="F40" s="344"/>
      <c r="G40" s="344"/>
    </row>
    <row r="41" spans="2:7" ht="15.75" thickBot="1">
      <c r="B41" s="444" t="s">
        <v>4</v>
      </c>
      <c r="C41" s="445">
        <v>0.35</v>
      </c>
      <c r="D41" s="344"/>
      <c r="E41" s="344"/>
      <c r="F41" s="344"/>
      <c r="G41" s="344"/>
    </row>
    <row r="42" spans="2:7">
      <c r="B42" s="312"/>
      <c r="C42" s="312"/>
      <c r="D42" s="312"/>
      <c r="E42" s="312"/>
      <c r="F42" s="312"/>
      <c r="G42" s="312"/>
    </row>
    <row r="43" spans="2:7">
      <c r="B43" s="312"/>
      <c r="C43" s="312"/>
      <c r="D43" s="312"/>
      <c r="E43" s="312"/>
      <c r="F43" s="312"/>
      <c r="G43" s="312"/>
    </row>
    <row r="44" spans="2:7">
      <c r="B44" s="312"/>
      <c r="C44" s="312"/>
      <c r="D44" s="312"/>
      <c r="E44" s="312"/>
      <c r="F44" s="312"/>
      <c r="G44" s="312"/>
    </row>
    <row r="45" spans="2:7">
      <c r="B45" s="312"/>
      <c r="C45" s="312"/>
      <c r="D45" s="312"/>
      <c r="E45" s="312"/>
      <c r="F45" s="312"/>
      <c r="G45" s="312"/>
    </row>
    <row r="46" spans="2:7">
      <c r="B46" s="312"/>
      <c r="C46" s="312"/>
      <c r="D46" s="312"/>
      <c r="E46" s="312"/>
      <c r="F46" s="312"/>
      <c r="G46" s="312"/>
    </row>
    <row r="47" spans="2:7">
      <c r="B47" s="312"/>
      <c r="C47" s="312"/>
      <c r="D47" s="312"/>
      <c r="E47" s="312"/>
      <c r="F47" s="312"/>
      <c r="G47" s="312"/>
    </row>
    <row r="48" spans="2:7">
      <c r="B48" s="312"/>
      <c r="C48" s="312"/>
      <c r="D48" s="312"/>
      <c r="E48" s="312"/>
      <c r="F48" s="312"/>
      <c r="G48" s="312"/>
    </row>
    <row r="49" spans="2:7">
      <c r="B49" s="312"/>
      <c r="C49" s="312"/>
      <c r="D49" s="312"/>
      <c r="E49" s="312"/>
      <c r="F49" s="312"/>
      <c r="G49" s="312"/>
    </row>
    <row r="50" spans="2:7">
      <c r="B50" s="312"/>
      <c r="C50" s="312"/>
      <c r="D50" s="312"/>
      <c r="E50" s="312"/>
      <c r="F50" s="312"/>
      <c r="G50" s="312"/>
    </row>
    <row r="51" spans="2:7">
      <c r="B51" s="312"/>
      <c r="C51" s="312"/>
      <c r="D51" s="312"/>
      <c r="E51" s="312"/>
      <c r="F51" s="312"/>
      <c r="G51" s="312"/>
    </row>
    <row r="52" spans="2:7">
      <c r="B52" s="312"/>
      <c r="C52" s="312"/>
      <c r="D52" s="312"/>
      <c r="E52" s="312"/>
      <c r="F52" s="312"/>
      <c r="G52" s="312"/>
    </row>
    <row r="53" spans="2:7">
      <c r="B53" s="312"/>
      <c r="C53" s="312"/>
      <c r="D53" s="312"/>
      <c r="E53" s="312"/>
      <c r="F53" s="312"/>
      <c r="G53" s="312"/>
    </row>
    <row r="54" spans="2:7">
      <c r="B54" s="312"/>
      <c r="C54" s="312"/>
      <c r="D54" s="312"/>
      <c r="E54" s="312"/>
      <c r="F54" s="312"/>
      <c r="G54" s="312"/>
    </row>
    <row r="55" spans="2:7">
      <c r="B55" s="312"/>
      <c r="C55" s="312"/>
      <c r="D55" s="312"/>
      <c r="E55" s="312"/>
      <c r="F55" s="312"/>
      <c r="G55" s="312"/>
    </row>
    <row r="56" spans="2:7">
      <c r="B56" s="312"/>
      <c r="C56" s="312"/>
      <c r="D56" s="312"/>
      <c r="E56" s="312"/>
      <c r="F56" s="312"/>
      <c r="G56" s="312"/>
    </row>
    <row r="57" spans="2:7">
      <c r="B57" s="312"/>
      <c r="C57" s="312"/>
      <c r="D57" s="312"/>
      <c r="E57" s="312"/>
      <c r="F57" s="312"/>
      <c r="G57" s="312"/>
    </row>
    <row r="58" spans="2:7">
      <c r="B58" s="312"/>
      <c r="C58" s="312"/>
      <c r="D58" s="312"/>
      <c r="E58" s="312"/>
      <c r="F58" s="312"/>
      <c r="G58" s="312"/>
    </row>
    <row r="59" spans="2:7">
      <c r="B59" s="312"/>
      <c r="C59" s="312"/>
      <c r="D59" s="312"/>
      <c r="E59" s="312"/>
      <c r="F59" s="312"/>
      <c r="G59" s="312"/>
    </row>
    <row r="60" spans="2:7">
      <c r="B60" s="312"/>
      <c r="C60" s="312"/>
      <c r="D60" s="312"/>
      <c r="E60" s="312"/>
      <c r="F60" s="312"/>
      <c r="G60" s="312"/>
    </row>
    <row r="61" spans="2:7">
      <c r="B61" s="312"/>
      <c r="C61" s="312"/>
      <c r="D61" s="312"/>
      <c r="E61" s="312"/>
      <c r="F61" s="312"/>
      <c r="G61" s="312"/>
    </row>
    <row r="62" spans="2:7">
      <c r="B62" s="312"/>
      <c r="C62" s="312"/>
      <c r="D62" s="312"/>
      <c r="E62" s="312"/>
      <c r="F62" s="312"/>
      <c r="G62" s="312"/>
    </row>
    <row r="63" spans="2:7">
      <c r="B63" s="312"/>
      <c r="C63" s="312"/>
      <c r="D63" s="312"/>
      <c r="E63" s="312"/>
      <c r="F63" s="312"/>
      <c r="G63" s="312"/>
    </row>
    <row r="64" spans="2:7">
      <c r="B64" s="312"/>
      <c r="C64" s="312"/>
      <c r="D64" s="312"/>
      <c r="E64" s="312"/>
      <c r="F64" s="312"/>
      <c r="G64" s="312"/>
    </row>
  </sheetData>
  <mergeCells count="1">
    <mergeCell ref="B11:G11"/>
  </mergeCells>
  <pageMargins left="0.7" right="0.7" top="0.75" bottom="0.75" header="0.3" footer="0.3"/>
  <pageSetup scale="75" orientation="portrait" verticalDpi="597"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pageSetUpPr fitToPage="1"/>
  </sheetPr>
  <dimension ref="A1:H60"/>
  <sheetViews>
    <sheetView showGridLines="0" zoomScaleNormal="100" workbookViewId="0">
      <selection activeCell="G9" sqref="G9"/>
    </sheetView>
  </sheetViews>
  <sheetFormatPr baseColWidth="10" defaultRowHeight="15"/>
  <cols>
    <col min="1" max="1" width="4.7109375" style="321" customWidth="1"/>
    <col min="2" max="2" width="36.7109375" style="321" customWidth="1"/>
    <col min="3" max="7" width="15.7109375" style="321" customWidth="1"/>
    <col min="8" max="16384" width="11.42578125" style="321"/>
  </cols>
  <sheetData>
    <row r="1" spans="1:7" s="312" customFormat="1">
      <c r="B1" s="219" t="s">
        <v>171</v>
      </c>
      <c r="C1" s="344"/>
      <c r="D1" s="344"/>
      <c r="E1" s="344"/>
      <c r="F1" s="344"/>
      <c r="G1" s="344"/>
    </row>
    <row r="2" spans="1:7" s="312" customFormat="1">
      <c r="B2" s="219" t="s">
        <v>71</v>
      </c>
      <c r="C2" s="344"/>
      <c r="D2" s="344"/>
      <c r="E2" s="344"/>
      <c r="F2" s="344"/>
      <c r="G2" s="344"/>
    </row>
    <row r="3" spans="1:7" s="312" customFormat="1" ht="15.75">
      <c r="B3" s="366" t="s">
        <v>333</v>
      </c>
      <c r="C3" s="344"/>
      <c r="D3" s="340"/>
      <c r="E3" s="344"/>
      <c r="F3" s="340"/>
      <c r="G3" s="340"/>
    </row>
    <row r="4" spans="1:7" s="312" customFormat="1" ht="15.75" thickBot="1">
      <c r="B4" s="340"/>
      <c r="C4" s="340"/>
      <c r="D4" s="340"/>
      <c r="E4" s="340"/>
      <c r="F4" s="340"/>
      <c r="G4" s="340"/>
    </row>
    <row r="5" spans="1:7" ht="15.75" thickBot="1">
      <c r="B5" s="340"/>
      <c r="C5" s="341" t="s">
        <v>116</v>
      </c>
      <c r="D5" s="342"/>
      <c r="E5" s="342"/>
      <c r="F5" s="343"/>
      <c r="G5" s="344"/>
    </row>
    <row r="6" spans="1:7" ht="15.75" thickBot="1">
      <c r="B6" s="97" t="s">
        <v>16</v>
      </c>
      <c r="C6" s="236" t="s">
        <v>1</v>
      </c>
      <c r="D6" s="98" t="s">
        <v>2</v>
      </c>
      <c r="E6" s="98" t="s">
        <v>3</v>
      </c>
      <c r="F6" s="99" t="s">
        <v>4</v>
      </c>
      <c r="G6" s="100" t="s">
        <v>105</v>
      </c>
    </row>
    <row r="7" spans="1:7">
      <c r="B7" s="313" t="s">
        <v>103</v>
      </c>
      <c r="C7" s="151">
        <f>+G15</f>
        <v>0</v>
      </c>
      <c r="D7" s="384">
        <f>+G21</f>
        <v>0</v>
      </c>
      <c r="E7" s="384">
        <f>+G27</f>
        <v>0</v>
      </c>
      <c r="F7" s="315">
        <f>+G33</f>
        <v>1000000</v>
      </c>
      <c r="G7" s="316">
        <f>SUM(C7:F7)</f>
        <v>1000000</v>
      </c>
    </row>
    <row r="8" spans="1:7">
      <c r="B8" s="324" t="s">
        <v>104</v>
      </c>
      <c r="C8" s="153">
        <f>+G16</f>
        <v>0</v>
      </c>
      <c r="D8" s="387">
        <f>+G22</f>
        <v>0</v>
      </c>
      <c r="E8" s="387">
        <f>+G28</f>
        <v>0</v>
      </c>
      <c r="F8" s="390">
        <f>+G34</f>
        <v>809683.28267477208</v>
      </c>
      <c r="G8" s="391">
        <f t="shared" ref="G8:G9" si="0">SUM(C8:F8)</f>
        <v>809683.28267477208</v>
      </c>
    </row>
    <row r="9" spans="1:7" ht="15.75" thickBot="1">
      <c r="B9" s="326" t="s">
        <v>5</v>
      </c>
      <c r="C9" s="392">
        <f>+G17</f>
        <v>0</v>
      </c>
      <c r="D9" s="393">
        <f>+G23</f>
        <v>0</v>
      </c>
      <c r="E9" s="393">
        <f>+G29</f>
        <v>0</v>
      </c>
      <c r="F9" s="394">
        <f>+G35</f>
        <v>190316.71732522792</v>
      </c>
      <c r="G9" s="395">
        <f t="shared" si="0"/>
        <v>190316.71732522792</v>
      </c>
    </row>
    <row r="10" spans="1:7" ht="3" customHeight="1">
      <c r="A10" s="312"/>
      <c r="B10" s="221"/>
      <c r="C10" s="320"/>
      <c r="D10" s="320"/>
      <c r="E10" s="320"/>
      <c r="F10" s="320"/>
      <c r="G10" s="320"/>
    </row>
    <row r="11" spans="1:7" ht="49.5" customHeight="1">
      <c r="A11" s="312"/>
      <c r="B11" s="925" t="s">
        <v>368</v>
      </c>
      <c r="C11" s="925"/>
      <c r="D11" s="925"/>
      <c r="E11" s="925"/>
      <c r="F11" s="925"/>
      <c r="G11" s="925"/>
    </row>
    <row r="12" spans="1:7" ht="9" customHeight="1" thickBot="1">
      <c r="A12" s="312"/>
      <c r="B12" s="340"/>
      <c r="C12" s="340"/>
      <c r="D12" s="340"/>
      <c r="E12" s="340"/>
      <c r="F12" s="340"/>
      <c r="G12" s="340"/>
    </row>
    <row r="13" spans="1:7" ht="15.75" thickBot="1">
      <c r="B13" s="97" t="s">
        <v>343</v>
      </c>
      <c r="C13" s="341" t="s">
        <v>117</v>
      </c>
      <c r="D13" s="342"/>
      <c r="E13" s="342"/>
      <c r="F13" s="343"/>
      <c r="G13" s="344"/>
    </row>
    <row r="14" spans="1:7" ht="15.75" thickBot="1">
      <c r="B14" s="97" t="s">
        <v>16</v>
      </c>
      <c r="C14" s="236" t="s">
        <v>326</v>
      </c>
      <c r="D14" s="98" t="s">
        <v>31</v>
      </c>
      <c r="E14" s="98" t="s">
        <v>32</v>
      </c>
      <c r="F14" s="99" t="s">
        <v>327</v>
      </c>
      <c r="G14" s="100" t="s">
        <v>105</v>
      </c>
    </row>
    <row r="15" spans="1:7">
      <c r="B15" s="313" t="s">
        <v>103</v>
      </c>
      <c r="C15" s="151"/>
      <c r="D15" s="384"/>
      <c r="E15" s="384"/>
      <c r="F15" s="315"/>
      <c r="G15" s="316">
        <f>SUM(C15:F15)</f>
        <v>0</v>
      </c>
    </row>
    <row r="16" spans="1:7">
      <c r="B16" s="324" t="s">
        <v>104</v>
      </c>
      <c r="C16" s="153"/>
      <c r="D16" s="387"/>
      <c r="E16" s="387"/>
      <c r="F16" s="390"/>
      <c r="G16" s="391">
        <f t="shared" ref="G16:G17" si="1">SUM(C16:F16)</f>
        <v>0</v>
      </c>
    </row>
    <row r="17" spans="1:8" ht="15.75" thickBot="1">
      <c r="B17" s="326" t="s">
        <v>5</v>
      </c>
      <c r="C17" s="392">
        <f>+C15-C16</f>
        <v>0</v>
      </c>
      <c r="D17" s="393">
        <f t="shared" ref="D17:F17" si="2">+D15-D16</f>
        <v>0</v>
      </c>
      <c r="E17" s="393">
        <f t="shared" si="2"/>
        <v>0</v>
      </c>
      <c r="F17" s="394">
        <f t="shared" si="2"/>
        <v>0</v>
      </c>
      <c r="G17" s="395">
        <f t="shared" si="1"/>
        <v>0</v>
      </c>
    </row>
    <row r="18" spans="1:8" ht="9" customHeight="1" thickBot="1">
      <c r="B18" s="396"/>
      <c r="C18" s="396"/>
      <c r="D18" s="396"/>
      <c r="E18" s="396"/>
      <c r="F18" s="396"/>
      <c r="G18" s="396"/>
    </row>
    <row r="19" spans="1:8" ht="15.75" thickBot="1">
      <c r="B19" s="97" t="s">
        <v>344</v>
      </c>
      <c r="C19" s="341" t="s">
        <v>118</v>
      </c>
      <c r="D19" s="342"/>
      <c r="E19" s="342"/>
      <c r="F19" s="343"/>
      <c r="G19" s="396"/>
    </row>
    <row r="20" spans="1:8" ht="15.75" thickBot="1">
      <c r="B20" s="97" t="s">
        <v>16</v>
      </c>
      <c r="C20" s="236" t="s">
        <v>326</v>
      </c>
      <c r="D20" s="98" t="s">
        <v>31</v>
      </c>
      <c r="E20" s="98" t="s">
        <v>32</v>
      </c>
      <c r="F20" s="99" t="s">
        <v>327</v>
      </c>
      <c r="G20" s="100" t="s">
        <v>105</v>
      </c>
    </row>
    <row r="21" spans="1:8">
      <c r="B21" s="313" t="s">
        <v>103</v>
      </c>
      <c r="C21" s="151"/>
      <c r="D21" s="384"/>
      <c r="E21" s="384"/>
      <c r="F21" s="315"/>
      <c r="G21" s="316">
        <f>SUM(C21:F21)</f>
        <v>0</v>
      </c>
    </row>
    <row r="22" spans="1:8">
      <c r="B22" s="324" t="s">
        <v>104</v>
      </c>
      <c r="C22" s="397"/>
      <c r="D22" s="387"/>
      <c r="E22" s="387"/>
      <c r="F22" s="390"/>
      <c r="G22" s="391">
        <f t="shared" ref="G22:G23" si="3">SUM(C22:F22)</f>
        <v>0</v>
      </c>
    </row>
    <row r="23" spans="1:8" ht="15.75" thickBot="1">
      <c r="B23" s="326" t="s">
        <v>5</v>
      </c>
      <c r="C23" s="392">
        <f t="shared" ref="C23:F23" si="4">+C21-C22</f>
        <v>0</v>
      </c>
      <c r="D23" s="393">
        <f t="shared" si="4"/>
        <v>0</v>
      </c>
      <c r="E23" s="393">
        <f t="shared" si="4"/>
        <v>0</v>
      </c>
      <c r="F23" s="394">
        <f t="shared" si="4"/>
        <v>0</v>
      </c>
      <c r="G23" s="395">
        <f t="shared" si="3"/>
        <v>0</v>
      </c>
      <c r="H23" s="398"/>
    </row>
    <row r="24" spans="1:8" ht="9" customHeight="1" thickBot="1">
      <c r="A24" s="312"/>
      <c r="B24" s="344"/>
      <c r="C24" s="344"/>
      <c r="D24" s="344"/>
      <c r="E24" s="344"/>
      <c r="F24" s="344"/>
      <c r="G24" s="344"/>
    </row>
    <row r="25" spans="1:8" ht="15.75" thickBot="1">
      <c r="B25" s="97" t="s">
        <v>345</v>
      </c>
      <c r="C25" s="341" t="s">
        <v>119</v>
      </c>
      <c r="D25" s="342"/>
      <c r="E25" s="342"/>
      <c r="F25" s="343"/>
      <c r="G25" s="344"/>
    </row>
    <row r="26" spans="1:8" ht="15.75" thickBot="1">
      <c r="B26" s="97" t="s">
        <v>16</v>
      </c>
      <c r="C26" s="236" t="s">
        <v>326</v>
      </c>
      <c r="D26" s="98" t="s">
        <v>31</v>
      </c>
      <c r="E26" s="98" t="s">
        <v>32</v>
      </c>
      <c r="F26" s="99" t="s">
        <v>327</v>
      </c>
      <c r="G26" s="100" t="s">
        <v>105</v>
      </c>
    </row>
    <row r="27" spans="1:8">
      <c r="B27" s="313" t="s">
        <v>103</v>
      </c>
      <c r="C27" s="383"/>
      <c r="D27" s="314"/>
      <c r="E27" s="314"/>
      <c r="F27" s="399"/>
      <c r="G27" s="316">
        <f>SUM(C27:F27)</f>
        <v>0</v>
      </c>
    </row>
    <row r="28" spans="1:8">
      <c r="B28" s="324" t="s">
        <v>104</v>
      </c>
      <c r="C28" s="400"/>
      <c r="D28" s="401"/>
      <c r="E28" s="401"/>
      <c r="F28" s="402"/>
      <c r="G28" s="391">
        <f t="shared" ref="G28:G29" si="5">SUM(C28:F28)</f>
        <v>0</v>
      </c>
    </row>
    <row r="29" spans="1:8" ht="15.75" thickBot="1">
      <c r="B29" s="326" t="s">
        <v>5</v>
      </c>
      <c r="C29" s="403">
        <f t="shared" ref="C29:F29" si="6">+C27-C28</f>
        <v>0</v>
      </c>
      <c r="D29" s="404">
        <f t="shared" si="6"/>
        <v>0</v>
      </c>
      <c r="E29" s="404">
        <f t="shared" si="6"/>
        <v>0</v>
      </c>
      <c r="F29" s="405">
        <f t="shared" si="6"/>
        <v>0</v>
      </c>
      <c r="G29" s="395">
        <f t="shared" si="5"/>
        <v>0</v>
      </c>
    </row>
    <row r="30" spans="1:8" ht="9" customHeight="1" thickBot="1">
      <c r="B30" s="396"/>
      <c r="C30" s="396"/>
      <c r="D30" s="396"/>
      <c r="E30" s="396"/>
      <c r="F30" s="396"/>
      <c r="G30" s="396"/>
    </row>
    <row r="31" spans="1:8" ht="15.75" thickBot="1">
      <c r="B31" s="97" t="s">
        <v>346</v>
      </c>
      <c r="C31" s="341" t="s">
        <v>120</v>
      </c>
      <c r="D31" s="342"/>
      <c r="E31" s="342"/>
      <c r="F31" s="343"/>
      <c r="G31" s="396"/>
    </row>
    <row r="32" spans="1:8" ht="15.75" thickBot="1">
      <c r="B32" s="97" t="s">
        <v>16</v>
      </c>
      <c r="C32" s="236" t="s">
        <v>326</v>
      </c>
      <c r="D32" s="98" t="s">
        <v>31</v>
      </c>
      <c r="E32" s="98" t="s">
        <v>32</v>
      </c>
      <c r="F32" s="99" t="s">
        <v>327</v>
      </c>
      <c r="G32" s="100" t="s">
        <v>105</v>
      </c>
    </row>
    <row r="33" spans="2:7">
      <c r="B33" s="313" t="s">
        <v>103</v>
      </c>
      <c r="C33" s="383"/>
      <c r="D33" s="314"/>
      <c r="E33" s="314">
        <f>+E49</f>
        <v>1000000</v>
      </c>
      <c r="F33" s="399"/>
      <c r="G33" s="316">
        <f>SUM(C33:F33)</f>
        <v>1000000</v>
      </c>
    </row>
    <row r="34" spans="2:7">
      <c r="B34" s="324" t="s">
        <v>104</v>
      </c>
      <c r="C34" s="400"/>
      <c r="D34" s="401"/>
      <c r="E34" s="565">
        <f>+E50</f>
        <v>809683.28267477208</v>
      </c>
      <c r="F34" s="402"/>
      <c r="G34" s="391">
        <f t="shared" ref="G34:G35" si="7">SUM(C34:F34)</f>
        <v>809683.28267477208</v>
      </c>
    </row>
    <row r="35" spans="2:7" ht="15.75" thickBot="1">
      <c r="B35" s="326" t="s">
        <v>5</v>
      </c>
      <c r="C35" s="403">
        <f t="shared" ref="C35:F35" si="8">+C33-C34</f>
        <v>0</v>
      </c>
      <c r="D35" s="404">
        <f t="shared" si="8"/>
        <v>0</v>
      </c>
      <c r="E35" s="404">
        <f t="shared" si="8"/>
        <v>190316.71732522792</v>
      </c>
      <c r="F35" s="405">
        <f t="shared" si="8"/>
        <v>0</v>
      </c>
      <c r="G35" s="395">
        <f t="shared" si="7"/>
        <v>190316.71732522792</v>
      </c>
    </row>
    <row r="36" spans="2:7" s="312" customFormat="1" ht="9" customHeight="1" thickBot="1">
      <c r="B36" s="344"/>
      <c r="C36" s="344"/>
      <c r="D36" s="344"/>
      <c r="E36" s="344"/>
      <c r="F36" s="344"/>
      <c r="G36" s="344"/>
    </row>
    <row r="37" spans="2:7" ht="45.75" customHeight="1" thickBot="1">
      <c r="B37" s="929" t="s">
        <v>56</v>
      </c>
      <c r="C37" s="931" t="s">
        <v>330</v>
      </c>
      <c r="D37" s="932"/>
      <c r="E37" s="932"/>
      <c r="F37" s="933"/>
      <c r="G37" s="344"/>
    </row>
    <row r="38" spans="2:7" ht="15.75" thickBot="1">
      <c r="B38" s="930"/>
      <c r="C38" s="439" t="s">
        <v>326</v>
      </c>
      <c r="D38" s="439" t="s">
        <v>31</v>
      </c>
      <c r="E38" s="439" t="s">
        <v>32</v>
      </c>
      <c r="F38" s="439" t="s">
        <v>327</v>
      </c>
      <c r="G38" s="344"/>
    </row>
    <row r="39" spans="2:7">
      <c r="B39" s="446" t="s">
        <v>1</v>
      </c>
      <c r="C39" s="447">
        <v>1</v>
      </c>
      <c r="D39" s="447">
        <v>1.2</v>
      </c>
      <c r="E39" s="447">
        <v>1.5</v>
      </c>
      <c r="F39" s="447">
        <v>2</v>
      </c>
      <c r="G39" s="344"/>
    </row>
    <row r="40" spans="2:7">
      <c r="B40" s="448" t="s">
        <v>2</v>
      </c>
      <c r="C40" s="449">
        <v>0.75</v>
      </c>
      <c r="D40" s="449">
        <v>0.9</v>
      </c>
      <c r="E40" s="449">
        <v>1.1299999999999999</v>
      </c>
      <c r="F40" s="449">
        <v>1.5</v>
      </c>
      <c r="G40" s="344"/>
    </row>
    <row r="41" spans="2:7">
      <c r="B41" s="448" t="s">
        <v>57</v>
      </c>
      <c r="C41" s="449">
        <v>0.5</v>
      </c>
      <c r="D41" s="449">
        <v>0.6</v>
      </c>
      <c r="E41" s="449">
        <v>0.75</v>
      </c>
      <c r="F41" s="449">
        <v>1</v>
      </c>
      <c r="G41" s="344"/>
    </row>
    <row r="42" spans="2:7" ht="15.75" thickBot="1">
      <c r="B42" s="450" t="s">
        <v>4</v>
      </c>
      <c r="C42" s="451">
        <v>0.35</v>
      </c>
      <c r="D42" s="451">
        <v>0.42</v>
      </c>
      <c r="E42" s="451">
        <v>0.53</v>
      </c>
      <c r="F42" s="451">
        <v>0.7</v>
      </c>
      <c r="G42" s="344"/>
    </row>
    <row r="43" spans="2:7">
      <c r="B43" s="312"/>
      <c r="C43" s="312"/>
      <c r="D43" s="312"/>
      <c r="E43" s="312"/>
      <c r="F43" s="312"/>
      <c r="G43" s="312"/>
    </row>
    <row r="44" spans="2:7" ht="15.75" thickBot="1">
      <c r="B44" s="312"/>
      <c r="C44" s="312"/>
      <c r="D44" s="312"/>
      <c r="E44" s="312"/>
      <c r="F44" s="312"/>
      <c r="G44" s="312"/>
    </row>
    <row r="45" spans="2:7">
      <c r="B45" s="614" t="s">
        <v>436</v>
      </c>
      <c r="C45" s="641"/>
      <c r="D45" s="615"/>
      <c r="E45" s="615">
        <v>7.16</v>
      </c>
      <c r="F45" s="617"/>
      <c r="G45" s="312"/>
    </row>
    <row r="46" spans="2:7">
      <c r="B46" s="618" t="s">
        <v>437</v>
      </c>
      <c r="C46" s="328"/>
      <c r="D46" s="619"/>
      <c r="E46" s="619">
        <v>5.28E-2</v>
      </c>
      <c r="F46" s="620"/>
      <c r="G46" s="312"/>
    </row>
    <row r="47" spans="2:7">
      <c r="B47" s="618" t="s">
        <v>438</v>
      </c>
      <c r="C47" s="328"/>
      <c r="D47" s="621"/>
      <c r="E47" s="621">
        <f>+E42</f>
        <v>0.53</v>
      </c>
      <c r="F47" s="620"/>
      <c r="G47" s="312"/>
    </row>
    <row r="48" spans="2:7">
      <c r="B48" s="618" t="s">
        <v>439</v>
      </c>
      <c r="C48" s="328"/>
      <c r="D48" s="622"/>
      <c r="E48" s="622">
        <f t="shared" ref="E48" si="9">+(E45/(1+E46)*(E46*(1+E47)-E46))</f>
        <v>0.19031671732522792</v>
      </c>
      <c r="F48" s="620"/>
      <c r="G48" s="312"/>
    </row>
    <row r="49" spans="2:7">
      <c r="B49" s="618" t="s">
        <v>440</v>
      </c>
      <c r="C49" s="328"/>
      <c r="D49" s="625"/>
      <c r="E49" s="625">
        <v>1000000</v>
      </c>
      <c r="F49" s="620"/>
      <c r="G49" s="312"/>
    </row>
    <row r="50" spans="2:7" ht="15.75" thickBot="1">
      <c r="B50" s="632" t="s">
        <v>441</v>
      </c>
      <c r="C50" s="633"/>
      <c r="D50" s="634"/>
      <c r="E50" s="634">
        <f t="shared" ref="E50" si="10">+E49*(1-E48)</f>
        <v>809683.28267477208</v>
      </c>
      <c r="F50" s="642"/>
      <c r="G50" s="312"/>
    </row>
    <row r="51" spans="2:7">
      <c r="B51" s="312"/>
      <c r="C51" s="312"/>
      <c r="D51" s="312"/>
      <c r="E51" s="312"/>
      <c r="F51" s="312"/>
      <c r="G51" s="312"/>
    </row>
    <row r="52" spans="2:7">
      <c r="B52" s="312"/>
      <c r="C52" s="312"/>
      <c r="D52" s="312"/>
      <c r="E52" s="312"/>
      <c r="F52" s="312"/>
      <c r="G52" s="312"/>
    </row>
    <row r="53" spans="2:7">
      <c r="B53" s="312"/>
      <c r="C53" s="312"/>
      <c r="D53" s="312"/>
      <c r="E53" s="312"/>
      <c r="F53" s="312"/>
      <c r="G53" s="312"/>
    </row>
    <row r="54" spans="2:7">
      <c r="B54" s="312"/>
      <c r="C54" s="312"/>
      <c r="D54" s="312"/>
      <c r="E54" s="312"/>
      <c r="F54" s="312"/>
      <c r="G54" s="312"/>
    </row>
    <row r="55" spans="2:7">
      <c r="B55" s="312"/>
      <c r="C55" s="312"/>
      <c r="D55" s="312"/>
      <c r="E55" s="312"/>
      <c r="F55" s="312"/>
      <c r="G55" s="312"/>
    </row>
    <row r="56" spans="2:7">
      <c r="B56" s="312"/>
      <c r="C56" s="312"/>
      <c r="D56" s="312"/>
      <c r="E56" s="312"/>
      <c r="F56" s="312"/>
      <c r="G56" s="312"/>
    </row>
    <row r="57" spans="2:7">
      <c r="B57" s="312"/>
      <c r="C57" s="312"/>
      <c r="D57" s="312"/>
      <c r="E57" s="312"/>
      <c r="F57" s="312"/>
      <c r="G57" s="312"/>
    </row>
    <row r="58" spans="2:7">
      <c r="B58" s="312"/>
      <c r="C58" s="312"/>
      <c r="D58" s="312"/>
      <c r="E58" s="312"/>
      <c r="F58" s="312"/>
      <c r="G58" s="312"/>
    </row>
    <row r="59" spans="2:7">
      <c r="B59" s="312"/>
      <c r="C59" s="312"/>
      <c r="D59" s="312"/>
      <c r="E59" s="312"/>
      <c r="F59" s="312"/>
      <c r="G59" s="312"/>
    </row>
    <row r="60" spans="2:7">
      <c r="B60" s="312"/>
      <c r="C60" s="312"/>
      <c r="D60" s="312"/>
      <c r="E60" s="312"/>
      <c r="F60" s="312"/>
      <c r="G60" s="312"/>
    </row>
  </sheetData>
  <mergeCells count="3">
    <mergeCell ref="B11:G11"/>
    <mergeCell ref="B37:B38"/>
    <mergeCell ref="C37:F37"/>
  </mergeCells>
  <pageMargins left="0.7" right="0.7" top="0.75" bottom="0.75" header="0.3" footer="0.3"/>
  <pageSetup scale="75" orientation="portrait" verticalDpi="597"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H60"/>
  <sheetViews>
    <sheetView showGridLines="0" zoomScaleNormal="100" workbookViewId="0">
      <selection activeCell="G9" sqref="G9"/>
    </sheetView>
  </sheetViews>
  <sheetFormatPr baseColWidth="10" defaultRowHeight="15"/>
  <cols>
    <col min="1" max="1" width="4.7109375" style="321" customWidth="1"/>
    <col min="2" max="2" width="36.7109375" style="321" customWidth="1"/>
    <col min="3" max="7" width="15.7109375" style="321" customWidth="1"/>
    <col min="8" max="16384" width="11.42578125" style="321"/>
  </cols>
  <sheetData>
    <row r="1" spans="1:7" s="312" customFormat="1">
      <c r="B1" s="219" t="s">
        <v>171</v>
      </c>
      <c r="C1" s="344"/>
      <c r="D1" s="344"/>
      <c r="E1" s="344"/>
      <c r="F1" s="344"/>
      <c r="G1" s="344"/>
    </row>
    <row r="2" spans="1:7" s="312" customFormat="1">
      <c r="B2" s="219" t="s">
        <v>71</v>
      </c>
      <c r="C2" s="344"/>
      <c r="D2" s="344"/>
      <c r="E2" s="344"/>
      <c r="F2" s="344"/>
      <c r="G2" s="344"/>
    </row>
    <row r="3" spans="1:7" s="312" customFormat="1" ht="15.75">
      <c r="B3" s="366" t="s">
        <v>334</v>
      </c>
      <c r="C3" s="344"/>
      <c r="D3" s="340"/>
      <c r="E3" s="344"/>
      <c r="F3" s="340"/>
      <c r="G3" s="340"/>
    </row>
    <row r="4" spans="1:7" s="312" customFormat="1" ht="15.75" thickBot="1">
      <c r="B4" s="340"/>
      <c r="C4" s="340"/>
      <c r="D4" s="340"/>
      <c r="E4" s="340"/>
      <c r="F4" s="340"/>
      <c r="G4" s="340"/>
    </row>
    <row r="5" spans="1:7" ht="15.75" thickBot="1">
      <c r="B5" s="340"/>
      <c r="C5" s="341" t="s">
        <v>116</v>
      </c>
      <c r="D5" s="342"/>
      <c r="E5" s="342"/>
      <c r="F5" s="343"/>
      <c r="G5" s="344"/>
    </row>
    <row r="6" spans="1:7" ht="15.75" thickBot="1">
      <c r="B6" s="97" t="s">
        <v>16</v>
      </c>
      <c r="C6" s="236" t="s">
        <v>1</v>
      </c>
      <c r="D6" s="98" t="s">
        <v>2</v>
      </c>
      <c r="E6" s="98" t="s">
        <v>3</v>
      </c>
      <c r="F6" s="99" t="s">
        <v>4</v>
      </c>
      <c r="G6" s="100" t="s">
        <v>105</v>
      </c>
    </row>
    <row r="7" spans="1:7">
      <c r="B7" s="313" t="s">
        <v>103</v>
      </c>
      <c r="C7" s="151">
        <f>+G15</f>
        <v>0</v>
      </c>
      <c r="D7" s="384">
        <f>+G21</f>
        <v>0</v>
      </c>
      <c r="E7" s="384">
        <f>+G27</f>
        <v>0</v>
      </c>
      <c r="F7" s="315">
        <f>+G33</f>
        <v>0</v>
      </c>
      <c r="G7" s="316">
        <f>SUM(C7:F7)</f>
        <v>0</v>
      </c>
    </row>
    <row r="8" spans="1:7">
      <c r="B8" s="324" t="s">
        <v>104</v>
      </c>
      <c r="C8" s="153">
        <f>+G16</f>
        <v>0</v>
      </c>
      <c r="D8" s="387">
        <f>+G22</f>
        <v>0</v>
      </c>
      <c r="E8" s="387">
        <f>+G28</f>
        <v>0</v>
      </c>
      <c r="F8" s="390">
        <f>+G34</f>
        <v>0</v>
      </c>
      <c r="G8" s="391">
        <f t="shared" ref="G8:G9" si="0">SUM(C8:F8)</f>
        <v>0</v>
      </c>
    </row>
    <row r="9" spans="1:7" ht="15.75" thickBot="1">
      <c r="B9" s="326" t="s">
        <v>5</v>
      </c>
      <c r="C9" s="392">
        <f>+G17</f>
        <v>0</v>
      </c>
      <c r="D9" s="393">
        <f>+G23</f>
        <v>0</v>
      </c>
      <c r="E9" s="393">
        <f>+G29</f>
        <v>0</v>
      </c>
      <c r="F9" s="394">
        <f>+G35</f>
        <v>0</v>
      </c>
      <c r="G9" s="395">
        <f t="shared" si="0"/>
        <v>0</v>
      </c>
    </row>
    <row r="10" spans="1:7" ht="3" customHeight="1">
      <c r="A10" s="312"/>
      <c r="B10" s="221"/>
      <c r="C10" s="320"/>
      <c r="D10" s="320"/>
      <c r="E10" s="320"/>
      <c r="F10" s="320"/>
      <c r="G10" s="320"/>
    </row>
    <row r="11" spans="1:7" ht="49.5" customHeight="1">
      <c r="A11" s="312"/>
      <c r="B11" s="925" t="s">
        <v>368</v>
      </c>
      <c r="C11" s="925"/>
      <c r="D11" s="925"/>
      <c r="E11" s="925"/>
      <c r="F11" s="925"/>
      <c r="G11" s="925"/>
    </row>
    <row r="12" spans="1:7" ht="9" customHeight="1" thickBot="1">
      <c r="A12" s="312"/>
      <c r="B12" s="340"/>
      <c r="C12" s="340"/>
      <c r="D12" s="340"/>
      <c r="E12" s="340"/>
      <c r="F12" s="340"/>
      <c r="G12" s="340"/>
    </row>
    <row r="13" spans="1:7" ht="15.75" thickBot="1">
      <c r="B13" s="97" t="s">
        <v>347</v>
      </c>
      <c r="C13" s="341" t="s">
        <v>117</v>
      </c>
      <c r="D13" s="342"/>
      <c r="E13" s="342"/>
      <c r="F13" s="343"/>
      <c r="G13" s="344"/>
    </row>
    <row r="14" spans="1:7" ht="15.75" thickBot="1">
      <c r="B14" s="97" t="s">
        <v>16</v>
      </c>
      <c r="C14" s="236" t="s">
        <v>326</v>
      </c>
      <c r="D14" s="98" t="s">
        <v>31</v>
      </c>
      <c r="E14" s="98" t="s">
        <v>32</v>
      </c>
      <c r="F14" s="99" t="s">
        <v>327</v>
      </c>
      <c r="G14" s="100" t="s">
        <v>105</v>
      </c>
    </row>
    <row r="15" spans="1:7">
      <c r="B15" s="313" t="s">
        <v>103</v>
      </c>
      <c r="C15" s="151"/>
      <c r="D15" s="384"/>
      <c r="E15" s="384"/>
      <c r="F15" s="315"/>
      <c r="G15" s="316">
        <f>SUM(C15:F15)</f>
        <v>0</v>
      </c>
    </row>
    <row r="16" spans="1:7">
      <c r="B16" s="324" t="s">
        <v>104</v>
      </c>
      <c r="C16" s="153"/>
      <c r="D16" s="387"/>
      <c r="E16" s="387"/>
      <c r="F16" s="390"/>
      <c r="G16" s="391">
        <f t="shared" ref="G16:G17" si="1">SUM(C16:F16)</f>
        <v>0</v>
      </c>
    </row>
    <row r="17" spans="1:8" ht="15.75" thickBot="1">
      <c r="B17" s="326" t="s">
        <v>5</v>
      </c>
      <c r="C17" s="392">
        <f>+C15-C16</f>
        <v>0</v>
      </c>
      <c r="D17" s="393">
        <f t="shared" ref="D17:F17" si="2">+D15-D16</f>
        <v>0</v>
      </c>
      <c r="E17" s="393">
        <f t="shared" si="2"/>
        <v>0</v>
      </c>
      <c r="F17" s="394">
        <f t="shared" si="2"/>
        <v>0</v>
      </c>
      <c r="G17" s="395">
        <f t="shared" si="1"/>
        <v>0</v>
      </c>
    </row>
    <row r="18" spans="1:8" ht="9" customHeight="1" thickBot="1">
      <c r="B18" s="396"/>
      <c r="C18" s="396"/>
      <c r="D18" s="396"/>
      <c r="E18" s="396"/>
      <c r="F18" s="396"/>
      <c r="G18" s="396"/>
    </row>
    <row r="19" spans="1:8" ht="15.75" thickBot="1">
      <c r="B19" s="97" t="s">
        <v>348</v>
      </c>
      <c r="C19" s="341" t="s">
        <v>118</v>
      </c>
      <c r="D19" s="342"/>
      <c r="E19" s="342"/>
      <c r="F19" s="343"/>
      <c r="G19" s="396"/>
    </row>
    <row r="20" spans="1:8" ht="15.75" thickBot="1">
      <c r="B20" s="97" t="s">
        <v>16</v>
      </c>
      <c r="C20" s="236" t="s">
        <v>326</v>
      </c>
      <c r="D20" s="98" t="s">
        <v>31</v>
      </c>
      <c r="E20" s="98" t="s">
        <v>32</v>
      </c>
      <c r="F20" s="99" t="s">
        <v>327</v>
      </c>
      <c r="G20" s="100" t="s">
        <v>105</v>
      </c>
    </row>
    <row r="21" spans="1:8">
      <c r="B21" s="313" t="s">
        <v>103</v>
      </c>
      <c r="C21" s="151"/>
      <c r="D21" s="384"/>
      <c r="E21" s="384"/>
      <c r="F21" s="315"/>
      <c r="G21" s="316">
        <f>SUM(C21:F21)</f>
        <v>0</v>
      </c>
    </row>
    <row r="22" spans="1:8">
      <c r="B22" s="324" t="s">
        <v>104</v>
      </c>
      <c r="C22" s="397"/>
      <c r="D22" s="387"/>
      <c r="E22" s="387"/>
      <c r="F22" s="390"/>
      <c r="G22" s="391">
        <f t="shared" ref="G22:G23" si="3">SUM(C22:F22)</f>
        <v>0</v>
      </c>
    </row>
    <row r="23" spans="1:8" ht="15.75" thickBot="1">
      <c r="B23" s="326" t="s">
        <v>5</v>
      </c>
      <c r="C23" s="392">
        <f t="shared" ref="C23:F23" si="4">+C21-C22</f>
        <v>0</v>
      </c>
      <c r="D23" s="393">
        <f t="shared" si="4"/>
        <v>0</v>
      </c>
      <c r="E23" s="393">
        <f t="shared" si="4"/>
        <v>0</v>
      </c>
      <c r="F23" s="394">
        <f t="shared" si="4"/>
        <v>0</v>
      </c>
      <c r="G23" s="395">
        <f t="shared" si="3"/>
        <v>0</v>
      </c>
      <c r="H23" s="398"/>
    </row>
    <row r="24" spans="1:8" ht="9" customHeight="1" thickBot="1">
      <c r="A24" s="312"/>
      <c r="B24" s="344"/>
      <c r="C24" s="344"/>
      <c r="D24" s="344"/>
      <c r="E24" s="344"/>
      <c r="F24" s="344"/>
      <c r="G24" s="344"/>
    </row>
    <row r="25" spans="1:8" ht="15.75" thickBot="1">
      <c r="B25" s="97" t="s">
        <v>349</v>
      </c>
      <c r="C25" s="341" t="s">
        <v>119</v>
      </c>
      <c r="D25" s="342"/>
      <c r="E25" s="342"/>
      <c r="F25" s="343"/>
      <c r="G25" s="344"/>
    </row>
    <row r="26" spans="1:8" ht="15.75" thickBot="1">
      <c r="B26" s="97" t="s">
        <v>16</v>
      </c>
      <c r="C26" s="236" t="s">
        <v>326</v>
      </c>
      <c r="D26" s="98" t="s">
        <v>31</v>
      </c>
      <c r="E26" s="98" t="s">
        <v>32</v>
      </c>
      <c r="F26" s="99" t="s">
        <v>327</v>
      </c>
      <c r="G26" s="100" t="s">
        <v>105</v>
      </c>
    </row>
    <row r="27" spans="1:8">
      <c r="B27" s="313" t="s">
        <v>103</v>
      </c>
      <c r="C27" s="383"/>
      <c r="D27" s="314"/>
      <c r="E27" s="314"/>
      <c r="F27" s="399"/>
      <c r="G27" s="316">
        <f>SUM(C27:F27)</f>
        <v>0</v>
      </c>
    </row>
    <row r="28" spans="1:8">
      <c r="B28" s="324" t="s">
        <v>104</v>
      </c>
      <c r="C28" s="400"/>
      <c r="D28" s="401"/>
      <c r="E28" s="401"/>
      <c r="F28" s="402"/>
      <c r="G28" s="391">
        <f t="shared" ref="G28:G29" si="5">SUM(C28:F28)</f>
        <v>0</v>
      </c>
    </row>
    <row r="29" spans="1:8" ht="15.75" thickBot="1">
      <c r="B29" s="326" t="s">
        <v>5</v>
      </c>
      <c r="C29" s="403">
        <f t="shared" ref="C29:F29" si="6">+C27-C28</f>
        <v>0</v>
      </c>
      <c r="D29" s="404">
        <f t="shared" si="6"/>
        <v>0</v>
      </c>
      <c r="E29" s="404">
        <f t="shared" si="6"/>
        <v>0</v>
      </c>
      <c r="F29" s="405">
        <f t="shared" si="6"/>
        <v>0</v>
      </c>
      <c r="G29" s="395">
        <f t="shared" si="5"/>
        <v>0</v>
      </c>
    </row>
    <row r="30" spans="1:8" ht="9" customHeight="1" thickBot="1">
      <c r="B30" s="396"/>
      <c r="C30" s="396"/>
      <c r="D30" s="396"/>
      <c r="E30" s="396"/>
      <c r="F30" s="396"/>
      <c r="G30" s="396"/>
    </row>
    <row r="31" spans="1:8" ht="15.75" thickBot="1">
      <c r="B31" s="97" t="s">
        <v>350</v>
      </c>
      <c r="C31" s="341" t="s">
        <v>120</v>
      </c>
      <c r="D31" s="342"/>
      <c r="E31" s="342"/>
      <c r="F31" s="343"/>
      <c r="G31" s="396"/>
    </row>
    <row r="32" spans="1:8" ht="15.75" thickBot="1">
      <c r="B32" s="97" t="s">
        <v>16</v>
      </c>
      <c r="C32" s="236" t="s">
        <v>326</v>
      </c>
      <c r="D32" s="98" t="s">
        <v>31</v>
      </c>
      <c r="E32" s="98" t="s">
        <v>32</v>
      </c>
      <c r="F32" s="99" t="s">
        <v>327</v>
      </c>
      <c r="G32" s="100" t="s">
        <v>105</v>
      </c>
    </row>
    <row r="33" spans="2:7">
      <c r="B33" s="313" t="s">
        <v>103</v>
      </c>
      <c r="C33" s="383"/>
      <c r="D33" s="314"/>
      <c r="E33" s="314"/>
      <c r="F33" s="399"/>
      <c r="G33" s="316">
        <f>SUM(C33:F33)</f>
        <v>0</v>
      </c>
    </row>
    <row r="34" spans="2:7">
      <c r="B34" s="324" t="s">
        <v>104</v>
      </c>
      <c r="C34" s="400"/>
      <c r="D34" s="401"/>
      <c r="E34" s="401"/>
      <c r="F34" s="402"/>
      <c r="G34" s="391">
        <f t="shared" ref="G34:G35" si="7">SUM(C34:F34)</f>
        <v>0</v>
      </c>
    </row>
    <row r="35" spans="2:7" ht="15.75" thickBot="1">
      <c r="B35" s="326" t="s">
        <v>5</v>
      </c>
      <c r="C35" s="403">
        <f t="shared" ref="C35:F35" si="8">+C33-C34</f>
        <v>0</v>
      </c>
      <c r="D35" s="404">
        <f t="shared" si="8"/>
        <v>0</v>
      </c>
      <c r="E35" s="404">
        <f t="shared" si="8"/>
        <v>0</v>
      </c>
      <c r="F35" s="405">
        <f t="shared" si="8"/>
        <v>0</v>
      </c>
      <c r="G35" s="395">
        <f t="shared" si="7"/>
        <v>0</v>
      </c>
    </row>
    <row r="36" spans="2:7" s="312" customFormat="1" ht="9" customHeight="1" thickBot="1">
      <c r="B36" s="344"/>
      <c r="C36" s="344"/>
      <c r="D36" s="344"/>
      <c r="E36" s="344"/>
      <c r="F36" s="344"/>
      <c r="G36" s="344"/>
    </row>
    <row r="37" spans="2:7" ht="45.75" customHeight="1" thickBot="1">
      <c r="B37" s="929" t="s">
        <v>56</v>
      </c>
      <c r="C37" s="931" t="s">
        <v>330</v>
      </c>
      <c r="D37" s="932"/>
      <c r="E37" s="932"/>
      <c r="F37" s="933"/>
      <c r="G37" s="344"/>
    </row>
    <row r="38" spans="2:7" ht="15.75" thickBot="1">
      <c r="B38" s="930"/>
      <c r="C38" s="439" t="s">
        <v>326</v>
      </c>
      <c r="D38" s="439" t="s">
        <v>31</v>
      </c>
      <c r="E38" s="439" t="s">
        <v>32</v>
      </c>
      <c r="F38" s="439" t="s">
        <v>327</v>
      </c>
      <c r="G38" s="344"/>
    </row>
    <row r="39" spans="2:7">
      <c r="B39" s="446" t="s">
        <v>1</v>
      </c>
      <c r="C39" s="452">
        <v>1.5</v>
      </c>
      <c r="D39" s="447">
        <v>1.8</v>
      </c>
      <c r="E39" s="447">
        <v>2.25</v>
      </c>
      <c r="F39" s="447">
        <v>2.5</v>
      </c>
      <c r="G39" s="344"/>
    </row>
    <row r="40" spans="2:7">
      <c r="B40" s="448" t="s">
        <v>2</v>
      </c>
      <c r="C40" s="453">
        <v>1.1299999999999999</v>
      </c>
      <c r="D40" s="449">
        <v>1.35</v>
      </c>
      <c r="E40" s="449">
        <v>1.69</v>
      </c>
      <c r="F40" s="449">
        <v>1.88</v>
      </c>
      <c r="G40" s="344"/>
    </row>
    <row r="41" spans="2:7">
      <c r="B41" s="448" t="s">
        <v>57</v>
      </c>
      <c r="C41" s="453">
        <v>0.75</v>
      </c>
      <c r="D41" s="449">
        <v>0.9</v>
      </c>
      <c r="E41" s="449">
        <v>1.1299999999999999</v>
      </c>
      <c r="F41" s="449">
        <v>1.25</v>
      </c>
      <c r="G41" s="344"/>
    </row>
    <row r="42" spans="2:7" ht="15.75" thickBot="1">
      <c r="B42" s="450" t="s">
        <v>4</v>
      </c>
      <c r="C42" s="454">
        <v>0.53</v>
      </c>
      <c r="D42" s="451">
        <v>0.63</v>
      </c>
      <c r="E42" s="451">
        <v>0.79</v>
      </c>
      <c r="F42" s="451">
        <v>0.88</v>
      </c>
      <c r="G42" s="344"/>
    </row>
    <row r="43" spans="2:7">
      <c r="B43" s="312"/>
      <c r="C43" s="312"/>
      <c r="D43" s="312"/>
      <c r="E43" s="312"/>
      <c r="F43" s="312"/>
      <c r="G43" s="312"/>
    </row>
    <row r="44" spans="2:7">
      <c r="B44" s="312"/>
      <c r="C44" s="312"/>
      <c r="D44" s="312"/>
      <c r="E44" s="312"/>
      <c r="F44" s="312"/>
      <c r="G44" s="312"/>
    </row>
    <row r="45" spans="2:7">
      <c r="B45" s="312"/>
      <c r="C45" s="312"/>
      <c r="D45" s="312"/>
      <c r="E45" s="312"/>
      <c r="F45" s="312"/>
      <c r="G45" s="312"/>
    </row>
    <row r="46" spans="2:7">
      <c r="B46" s="312"/>
      <c r="C46" s="312"/>
      <c r="D46" s="312"/>
      <c r="E46" s="312"/>
      <c r="F46" s="312"/>
      <c r="G46" s="312"/>
    </row>
    <row r="47" spans="2:7">
      <c r="B47" s="312"/>
      <c r="C47" s="312"/>
      <c r="D47" s="312"/>
      <c r="E47" s="312"/>
      <c r="F47" s="312"/>
      <c r="G47" s="312"/>
    </row>
    <row r="48" spans="2:7">
      <c r="B48" s="312"/>
      <c r="C48" s="312"/>
      <c r="D48" s="312"/>
      <c r="E48" s="312"/>
      <c r="F48" s="312"/>
      <c r="G48" s="312"/>
    </row>
    <row r="49" spans="2:7">
      <c r="B49" s="312"/>
      <c r="C49" s="312"/>
      <c r="D49" s="312"/>
      <c r="E49" s="312"/>
      <c r="F49" s="312"/>
      <c r="G49" s="312"/>
    </row>
    <row r="50" spans="2:7">
      <c r="B50" s="312"/>
      <c r="C50" s="312"/>
      <c r="D50" s="312"/>
      <c r="E50" s="312"/>
      <c r="F50" s="312"/>
      <c r="G50" s="312"/>
    </row>
    <row r="51" spans="2:7">
      <c r="B51" s="312"/>
      <c r="C51" s="312"/>
      <c r="D51" s="312"/>
      <c r="E51" s="312"/>
      <c r="F51" s="312"/>
      <c r="G51" s="312"/>
    </row>
    <row r="52" spans="2:7">
      <c r="B52" s="312"/>
      <c r="C52" s="312"/>
      <c r="D52" s="312"/>
      <c r="E52" s="312"/>
      <c r="F52" s="312"/>
      <c r="G52" s="312"/>
    </row>
    <row r="53" spans="2:7">
      <c r="B53" s="312"/>
      <c r="C53" s="312"/>
      <c r="D53" s="312"/>
      <c r="E53" s="312"/>
      <c r="F53" s="312"/>
      <c r="G53" s="312"/>
    </row>
    <row r="54" spans="2:7">
      <c r="B54" s="312"/>
      <c r="C54" s="312"/>
      <c r="D54" s="312"/>
      <c r="E54" s="312"/>
      <c r="F54" s="312"/>
      <c r="G54" s="312"/>
    </row>
    <row r="55" spans="2:7">
      <c r="B55" s="312"/>
      <c r="C55" s="312"/>
      <c r="D55" s="312"/>
      <c r="E55" s="312"/>
      <c r="F55" s="312"/>
      <c r="G55" s="312"/>
    </row>
    <row r="56" spans="2:7">
      <c r="B56" s="312"/>
      <c r="C56" s="312"/>
      <c r="D56" s="312"/>
      <c r="E56" s="312"/>
      <c r="F56" s="312"/>
      <c r="G56" s="312"/>
    </row>
    <row r="57" spans="2:7">
      <c r="B57" s="312"/>
      <c r="C57" s="312"/>
      <c r="D57" s="312"/>
      <c r="E57" s="312"/>
      <c r="F57" s="312"/>
      <c r="G57" s="312"/>
    </row>
    <row r="58" spans="2:7">
      <c r="B58" s="312"/>
      <c r="C58" s="312"/>
      <c r="D58" s="312"/>
      <c r="E58" s="312"/>
      <c r="F58" s="312"/>
      <c r="G58" s="312"/>
    </row>
    <row r="59" spans="2:7">
      <c r="B59" s="312"/>
      <c r="C59" s="312"/>
      <c r="D59" s="312"/>
      <c r="E59" s="312"/>
      <c r="F59" s="312"/>
      <c r="G59" s="312"/>
    </row>
    <row r="60" spans="2:7">
      <c r="B60" s="312"/>
      <c r="C60" s="312"/>
      <c r="D60" s="312"/>
      <c r="E60" s="312"/>
      <c r="F60" s="312"/>
      <c r="G60" s="312"/>
    </row>
  </sheetData>
  <mergeCells count="3">
    <mergeCell ref="B11:G11"/>
    <mergeCell ref="B37:B38"/>
    <mergeCell ref="C37:F37"/>
  </mergeCells>
  <pageMargins left="0.7" right="0.7" top="0.75" bottom="0.75" header="0.3" footer="0.3"/>
  <pageSetup scale="75" orientation="portrait" verticalDpi="597"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36</vt:i4>
      </vt:variant>
      <vt:variant>
        <vt:lpstr>Rangos con nombre</vt:lpstr>
      </vt:variant>
      <vt:variant>
        <vt:i4>1</vt:i4>
      </vt:variant>
    </vt:vector>
  </HeadingPairs>
  <TitlesOfParts>
    <vt:vector size="37" baseType="lpstr">
      <vt:lpstr>Cap II Patrim Disponible</vt:lpstr>
      <vt:lpstr>Cap III 1.1 CBR Mercado</vt:lpstr>
      <vt:lpstr>a) Acciones</vt:lpstr>
      <vt:lpstr>b1) RF Nac Estatales</vt:lpstr>
      <vt:lpstr>b2) RF Nac No Sec</vt:lpstr>
      <vt:lpstr>b3) RF Nac Sec</vt:lpstr>
      <vt:lpstr>b4) RF Ext Estatales</vt:lpstr>
      <vt:lpstr>b5) RF Ext No Sec</vt:lpstr>
      <vt:lpstr>b6) RF Ext Sec</vt:lpstr>
      <vt:lpstr>c) BBRR</vt:lpstr>
      <vt:lpstr>d) Fondos</vt:lpstr>
      <vt:lpstr>e) Moneda</vt:lpstr>
      <vt:lpstr>f) Derivados</vt:lpstr>
      <vt:lpstr>g) Otros</vt:lpstr>
      <vt:lpstr>Agregación CBR Mercado</vt:lpstr>
      <vt:lpstr>Cap III 1.2 CBR Crédito</vt:lpstr>
      <vt:lpstr>a) CBR Crédito RF</vt:lpstr>
      <vt:lpstr>b1) CBR Crédito (MHE)</vt:lpstr>
      <vt:lpstr>b2) CBR Crédito (Préstamos)</vt:lpstr>
      <vt:lpstr>c) CBR Crédito (Cleas)</vt:lpstr>
      <vt:lpstr>d) CBR Crédito PxC </vt:lpstr>
      <vt:lpstr>e1) CBR Crédito AxR</vt:lpstr>
      <vt:lpstr>e.2) CBR Crédito AxR Terremoto</vt:lpstr>
      <vt:lpstr>f) CBR Crédito Derivados</vt:lpstr>
      <vt:lpstr>g) CBR Crédito Otros</vt:lpstr>
      <vt:lpstr>Cap IV Resumen R.Tecnicos (CSV)</vt:lpstr>
      <vt:lpstr>VTD Ajustado y Estresado</vt:lpstr>
      <vt:lpstr>Cap IV 1 RRVV (TSA)</vt:lpstr>
      <vt:lpstr>Cap IV 2 CBR SIS</vt:lpstr>
      <vt:lpstr>Cap IV 3 Seguros con CUI</vt:lpstr>
      <vt:lpstr>Cap IV CBR 4.1 Activos RF R Mat</vt:lpstr>
      <vt:lpstr>Cap IV 4.2 CBR RT Vida Tradic</vt:lpstr>
      <vt:lpstr>Cap IV CBR RT Salud y AP</vt:lpstr>
      <vt:lpstr>Agregación Riesgos Técnicos CSV</vt:lpstr>
      <vt:lpstr>Cap V CBR Operacional (CSV)</vt:lpstr>
      <vt:lpstr>Cap VI Agregación (CSV)</vt:lpstr>
      <vt:lpstr>uf</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SVS</dc:creator>
  <cp:lastModifiedBy>SVS</cp:lastModifiedBy>
  <cp:lastPrinted>2014-01-30T16:00:04Z</cp:lastPrinted>
  <dcterms:created xsi:type="dcterms:W3CDTF">2012-12-18T15:07:40Z</dcterms:created>
  <dcterms:modified xsi:type="dcterms:W3CDTF">2016-05-24T16:06:02Z</dcterms:modified>
</cp:coreProperties>
</file>