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<sst xmlns="http://schemas.openxmlformats.org/spreadsheetml/2006/main" count="120" uniqueCount="21">
  <si>
    <t>-</t>
  </si>
  <si>
    <t>( Cifras en millones de US$ de diciembre de cada año )</t>
  </si>
  <si>
    <t>1997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</si>
  <si>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</si>
  <si>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</si>
  <si>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</si>
  <si>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</si>
  <si>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</si>
  <si>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</si>
  <si>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</si>
  <si>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</si>
  <si>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</si>
  <si>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Inversiones inmobiliarias</t>
  </si>
  <si>
    <t>Mutuos hipotecarios</t>
  </si>
  <si>
    <t>Fondos de inversión</t>
  </si>
  <si>
    <t>TOTAL INVERSIONES</t>
  </si>
  <si>
    <t>INVERSIONES COMPAÑIAS DE SEGUROS GENERALES</t>
  </si>
  <si>
    <t>(Aseguradoras y Reaseguradoras)</t>
  </si>
  <si>
    <t>Inversiones en el extranjero</t>
  </si>
  <si>
    <t>Otros (*)</t>
  </si>
  <si>
    <t>(*):Incluye Fondos Mutuos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</si>
</sst>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7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7"/>
      <name val="Arial"/>
      <family val="2"/>
    </font>
    <font>
      <sz val="8"/>
      <color indexed="18"/>
      <name val="Times New Roman"/>
      <family val="1"/>
    </font>
    <font>
      <sz val="7"/>
      <color indexed="8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7"/>
      <color indexed="1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16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/>
    </xf>
    <xf numFmtId="3" fontId="9" fillId="33" borderId="0" xfId="0" applyNumberFormat="1" applyFont="1" applyFill="1" applyAlignment="1">
      <alignment horizontal="centerContinuous"/>
    </xf>
    <xf numFmtId="0" fontId="10" fillId="33" borderId="0" xfId="0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centerContinuous"/>
    </xf>
    <xf numFmtId="3" fontId="7" fillId="33" borderId="0" xfId="0" applyNumberFormat="1" applyFont="1" applyFill="1" applyAlignment="1" quotePrefix="1">
      <alignment horizontal="centerContinuous"/>
    </xf>
    <xf numFmtId="3" fontId="9" fillId="33" borderId="0" xfId="0" applyNumberFormat="1" applyFont="1" applyFill="1" applyAlignment="1" quotePrefix="1">
      <alignment horizontal="centerContinuous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0" fontId="10" fillId="33" borderId="0" xfId="0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3" fillId="33" borderId="0" xfId="0" applyNumberFormat="1" applyFont="1" applyFill="1" applyBorder="1" applyAlignment="1">
      <alignment horizontal="centerContinuous"/>
    </xf>
    <xf numFmtId="0" fontId="14" fillId="33" borderId="0" xfId="0" applyNumberFormat="1" applyFont="1" applyFill="1" applyAlignment="1">
      <alignment/>
    </xf>
    <xf numFmtId="0" fontId="1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17" fillId="33" borderId="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198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198" fontId="15" fillId="33" borderId="0" xfId="0" applyNumberFormat="1" applyFont="1" applyFill="1" applyAlignment="1">
      <alignment/>
    </xf>
    <xf numFmtId="3" fontId="8" fillId="33" borderId="0" xfId="0" applyNumberFormat="1" applyFont="1" applyFill="1" applyAlignment="1" quotePrefix="1">
      <alignment horizontal="left"/>
    </xf>
    <xf numFmtId="3" fontId="18" fillId="33" borderId="0" xfId="0" applyNumberFormat="1" applyFont="1" applyFill="1" applyAlignment="1" quotePrefix="1">
      <alignment horizontal="right"/>
    </xf>
    <xf numFmtId="3" fontId="18" fillId="33" borderId="0" xfId="0" applyNumberFormat="1" applyFont="1" applyFill="1" applyBorder="1" applyAlignment="1" quotePrefix="1">
      <alignment horizontal="right"/>
    </xf>
    <xf numFmtId="198" fontId="17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7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198" fontId="17" fillId="33" borderId="10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198" fontId="15" fillId="33" borderId="10" xfId="0" applyNumberFormat="1" applyFont="1" applyFill="1" applyBorder="1" applyAlignment="1">
      <alignment/>
    </xf>
    <xf numFmtId="3" fontId="18" fillId="33" borderId="11" xfId="0" applyNumberFormat="1" applyFont="1" applyFill="1" applyBorder="1" applyAlignment="1" quotePrefix="1">
      <alignment horizontal="left"/>
    </xf>
    <xf numFmtId="3" fontId="18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8" fillId="33" borderId="0" xfId="0" applyNumberFormat="1" applyFont="1" applyFill="1" applyAlignment="1" quotePrefix="1">
      <alignment horizontal="left"/>
    </xf>
    <xf numFmtId="3" fontId="18" fillId="33" borderId="0" xfId="0" applyNumberFormat="1" applyFont="1" applyFill="1" applyBorder="1" applyAlignment="1">
      <alignment horizontal="centerContinuous"/>
    </xf>
    <xf numFmtId="3" fontId="19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0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1" fontId="10" fillId="33" borderId="0" xfId="0" applyNumberFormat="1" applyFont="1" applyFill="1" applyBorder="1" applyAlignment="1">
      <alignment/>
    </xf>
    <xf numFmtId="3" fontId="20" fillId="33" borderId="0" xfId="0" applyNumberFormat="1" applyFont="1" applyFill="1" applyAlignment="1" quotePrefix="1">
      <alignment horizontal="left"/>
    </xf>
    <xf numFmtId="3" fontId="21" fillId="33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/>
    </xf>
    <xf numFmtId="3" fontId="22" fillId="33" borderId="0" xfId="0" applyNumberFormat="1" applyFont="1" applyFill="1" applyAlignment="1">
      <alignment/>
    </xf>
    <xf numFmtId="1" fontId="10" fillId="33" borderId="0" xfId="0" applyNumberFormat="1" applyFont="1" applyFill="1" applyAlignment="1">
      <alignment/>
    </xf>
    <xf numFmtId="1" fontId="12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23" fillId="33" borderId="0" xfId="0" applyNumberFormat="1" applyFont="1" applyFill="1" applyBorder="1" applyAlignment="1">
      <alignment/>
    </xf>
    <xf numFmtId="3" fontId="23" fillId="33" borderId="0" xfId="0" applyNumberFormat="1" applyFont="1" applyFill="1" applyAlignment="1">
      <alignment/>
    </xf>
    <xf numFmtId="3" fontId="24" fillId="33" borderId="12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24" fillId="33" borderId="10" xfId="0" applyNumberFormat="1" applyFont="1" applyFill="1" applyBorder="1" applyAlignment="1">
      <alignment/>
    </xf>
    <xf numFmtId="198" fontId="15" fillId="33" borderId="0" xfId="0" applyNumberFormat="1" applyFont="1" applyFill="1" applyAlignment="1">
      <alignment horizontal="right"/>
    </xf>
    <xf numFmtId="198" fontId="15" fillId="33" borderId="10" xfId="0" applyNumberFormat="1" applyFont="1" applyFill="1" applyBorder="1" applyAlignment="1">
      <alignment horizontal="right"/>
    </xf>
    <xf numFmtId="3" fontId="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 quotePrefix="1">
      <alignment horizontal="right"/>
    </xf>
    <xf numFmtId="0" fontId="25" fillId="33" borderId="0" xfId="0" applyNumberFormat="1" applyFont="1" applyFill="1" applyAlignment="1">
      <alignment/>
    </xf>
    <xf numFmtId="3" fontId="0" fillId="33" borderId="10" xfId="0" applyNumberFormat="1" applyFont="1" applyFill="1" applyBorder="1" applyAlignment="1">
      <alignment/>
    </xf>
    <xf numFmtId="198" fontId="17" fillId="33" borderId="0" xfId="0" applyNumberFormat="1" applyFont="1" applyFill="1" applyAlignment="1">
      <alignment horizontal="right"/>
    </xf>
    <xf numFmtId="198" fontId="17" fillId="33" borderId="0" xfId="0" applyNumberFormat="1" applyFont="1" applyFill="1" applyAlignment="1" quotePrefix="1">
      <alignment horizontal="right"/>
    </xf>
    <xf numFmtId="3" fontId="8" fillId="33" borderId="0" xfId="0" applyNumberFormat="1" applyFont="1" applyFill="1" applyBorder="1" applyAlignment="1">
      <alignment horizontal="right"/>
    </xf>
    <xf numFmtId="1" fontId="10" fillId="33" borderId="0" xfId="0" applyNumberFormat="1" applyFont="1" applyFill="1" applyAlignment="1">
      <alignment horizontal="center"/>
    </xf>
    <xf numFmtId="3" fontId="26" fillId="33" borderId="0" xfId="0" applyNumberFormat="1" applyFont="1" applyFill="1" applyBorder="1" applyAlignment="1">
      <alignment/>
    </xf>
    <xf numFmtId="3" fontId="26" fillId="33" borderId="11" xfId="0" applyNumberFormat="1" applyFont="1" applyFill="1" applyBorder="1" applyAlignment="1">
      <alignment/>
    </xf>
    <xf numFmtId="198" fontId="15" fillId="33" borderId="0" xfId="0" applyNumberFormat="1" applyFont="1" applyFill="1" applyAlignment="1">
      <alignment/>
    </xf>
    <xf numFmtId="3" fontId="18" fillId="33" borderId="0" xfId="0" applyNumberFormat="1" applyFont="1" applyFill="1" applyBorder="1" applyAlignment="1">
      <alignment horizontal="right" vertical="center"/>
    </xf>
    <xf numFmtId="3" fontId="18" fillId="33" borderId="10" xfId="0" applyNumberFormat="1" applyFon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/>
    </xf>
    <xf numFmtId="3" fontId="18" fillId="33" borderId="11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18" fillId="33" borderId="0" xfId="0" applyNumberFormat="1" applyFont="1" applyFill="1" applyAlignment="1">
      <alignment horizontal="center"/>
    </xf>
    <xf numFmtId="3" fontId="18" fillId="33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CIAS. SEGUROS GENERALES</a:t>
            </a:r>
          </a:p>
        </c:rich>
      </c:tx>
      <c:layout>
        <c:manualLayout>
          <c:xMode val="factor"/>
          <c:yMode val="factor"/>
          <c:x val="0.00875"/>
          <c:y val="-0.005"/>
        </c:manualLayout>
      </c:layout>
      <c:spPr>
        <a:noFill/>
        <a:ln>
          <a:noFill/>
        </a:ln>
      </c:spPr>
    </c:title>
    <c:view3D>
      <c:rotX val="27"/>
      <c:hPercent val="28"/>
      <c:rotY val="16"/>
      <c:depthPercent val="200"/>
      <c:rAngAx val="1"/>
    </c:view3D>
    <c:plotArea>
      <c:layout>
        <c:manualLayout>
          <c:xMode val="edge"/>
          <c:yMode val="edge"/>
          <c:x val="0.0295"/>
          <c:y val="0.187"/>
          <c:w val="0.97475"/>
          <c:h val="0.7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INVERSIONES COMPAÑIAS DE SEGUROS GENERALES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Hoja1!$B$5:$BH$5</c:f>
              <c:strCache/>
            </c:strRef>
          </c:cat>
          <c:val>
            <c:numRef>
              <c:f>Hoja1!$B$21:$BH$21</c:f>
              <c:numCache/>
            </c:numRef>
          </c:val>
          <c:shape val="box"/>
        </c:ser>
        <c:gapDepth val="0"/>
        <c:shape val="box"/>
        <c:axId val="25590987"/>
        <c:axId val="28992292"/>
      </c:bar3DChart>
      <c:catAx>
        <c:axId val="2559098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92292"/>
        <c:crosses val="autoZero"/>
        <c:auto val="0"/>
        <c:lblOffset val="100"/>
        <c:tickLblSkip val="1"/>
        <c:noMultiLvlLbl val="0"/>
      </c:catAx>
      <c:valAx>
        <c:axId val="28992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Millones US$ de cada año</a:t>
                </a:r>
              </a:p>
            </c:rich>
          </c:tx>
          <c:layout>
            <c:manualLayout>
              <c:xMode val="factor"/>
              <c:yMode val="factor"/>
              <c:x val="-0.064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909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2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0.51775</cdr:y>
    </cdr:from>
    <cdr:to>
      <cdr:x>0.579</cdr:x>
      <cdr:y>0.5785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9525" y="1333500"/>
          <a:ext cx="619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24</xdr:row>
      <xdr:rowOff>0</xdr:rowOff>
    </xdr:from>
    <xdr:to>
      <xdr:col>21</xdr:col>
      <xdr:colOff>76200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600075" y="3848100"/>
        <a:ext cx="76771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11"/>
  <sheetViews>
    <sheetView tabSelected="1" zoomScalePageLayoutView="0" workbookViewId="0" topLeftCell="A22">
      <selection activeCell="BK11" sqref="BK11"/>
    </sheetView>
  </sheetViews>
  <sheetFormatPr defaultColWidth="9.8515625" defaultRowHeight="18" customHeight="1"/>
  <cols>
    <col min="1" max="1" width="29.421875" style="7" customWidth="1"/>
    <col min="2" max="2" width="4.8515625" style="80" customWidth="1"/>
    <col min="3" max="3" width="5.140625" style="7" customWidth="1"/>
    <col min="4" max="4" width="4.8515625" style="80" customWidth="1"/>
    <col min="5" max="5" width="4.421875" style="7" customWidth="1"/>
    <col min="6" max="6" width="4.8515625" style="80" customWidth="1"/>
    <col min="7" max="7" width="4.421875" style="7" customWidth="1"/>
    <col min="8" max="8" width="4.8515625" style="80" customWidth="1"/>
    <col min="9" max="9" width="4.421875" style="7" customWidth="1"/>
    <col min="10" max="10" width="4.8515625" style="80" customWidth="1"/>
    <col min="11" max="11" width="4.421875" style="7" customWidth="1"/>
    <col min="12" max="12" width="4.8515625" style="80" customWidth="1"/>
    <col min="13" max="13" width="4.421875" style="7" customWidth="1"/>
    <col min="14" max="14" width="4.8515625" style="80" customWidth="1"/>
    <col min="15" max="15" width="4.421875" style="7" customWidth="1"/>
    <col min="16" max="16" width="4.8515625" style="81" customWidth="1"/>
    <col min="17" max="17" width="4.421875" style="7" customWidth="1"/>
    <col min="18" max="18" width="4.8515625" style="80" customWidth="1"/>
    <col min="19" max="19" width="4.421875" style="7" customWidth="1"/>
    <col min="20" max="20" width="4.8515625" style="80" customWidth="1"/>
    <col min="21" max="21" width="4.421875" style="7" customWidth="1"/>
    <col min="22" max="24" width="4.8515625" style="80" customWidth="1"/>
    <col min="25" max="25" width="4.421875" style="82" customWidth="1"/>
    <col min="26" max="26" width="5.00390625" style="80" customWidth="1"/>
    <col min="27" max="27" width="4.7109375" style="80" customWidth="1"/>
    <col min="28" max="28" width="6.57421875" style="80" customWidth="1"/>
    <col min="29" max="30" width="4.8515625" style="80" customWidth="1"/>
    <col min="31" max="31" width="4.421875" style="80" customWidth="1"/>
    <col min="32" max="32" width="4.8515625" style="80" customWidth="1"/>
    <col min="33" max="33" width="5.28125" style="80" customWidth="1"/>
    <col min="34" max="34" width="4.8515625" style="80" customWidth="1"/>
    <col min="35" max="35" width="5.421875" style="7" customWidth="1"/>
    <col min="36" max="36" width="5.421875" style="69" customWidth="1"/>
    <col min="37" max="37" width="5.421875" style="7" customWidth="1"/>
    <col min="38" max="38" width="6.140625" style="7" customWidth="1"/>
    <col min="39" max="39" width="6.00390625" style="7" customWidth="1"/>
    <col min="40" max="40" width="6.28125" style="7" customWidth="1"/>
    <col min="41" max="41" width="6.7109375" style="7" customWidth="1"/>
    <col min="42" max="42" width="6.28125" style="7" customWidth="1"/>
    <col min="43" max="43" width="8.00390625" style="7" customWidth="1"/>
    <col min="44" max="44" width="8.57421875" style="7" customWidth="1"/>
    <col min="45" max="45" width="9.00390625" style="7" customWidth="1"/>
    <col min="46" max="48" width="9.8515625" style="7" customWidth="1"/>
    <col min="49" max="49" width="6.421875" style="7" customWidth="1"/>
    <col min="50" max="50" width="8.28125" style="7" customWidth="1"/>
    <col min="51" max="51" width="8.421875" style="7" customWidth="1"/>
    <col min="52" max="57" width="9.8515625" style="7" customWidth="1"/>
    <col min="58" max="16384" width="9.8515625" style="7" customWidth="1"/>
  </cols>
  <sheetData>
    <row r="1" spans="1:36" ht="18" customHeight="1">
      <c r="A1" s="1" t="s">
        <v>16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2"/>
      <c r="X1" s="2"/>
      <c r="Y1" s="5"/>
      <c r="Z1" s="2"/>
      <c r="AA1" s="2"/>
      <c r="AB1" s="2"/>
      <c r="AC1" s="2"/>
      <c r="AD1" s="2"/>
      <c r="AE1" s="2"/>
      <c r="AF1" s="2"/>
      <c r="AG1" s="2"/>
      <c r="AH1" s="2"/>
      <c r="AI1" s="3"/>
      <c r="AJ1" s="6"/>
    </row>
    <row r="2" spans="1:44" ht="12.75">
      <c r="A2" s="8" t="s">
        <v>17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9"/>
      <c r="Q2" s="3"/>
      <c r="R2" s="10"/>
      <c r="S2" s="3"/>
      <c r="T2" s="10"/>
      <c r="U2" s="3"/>
      <c r="V2" s="10"/>
      <c r="W2" s="10"/>
      <c r="X2" s="10"/>
      <c r="Y2" s="11"/>
      <c r="Z2" s="10"/>
      <c r="AA2" s="10"/>
      <c r="AB2" s="10"/>
      <c r="AC2" s="10"/>
      <c r="AD2" s="10"/>
      <c r="AE2" s="10"/>
      <c r="AF2" s="10"/>
      <c r="AG2" s="10"/>
      <c r="AH2" s="10"/>
      <c r="AI2" s="3"/>
      <c r="AJ2" s="12"/>
      <c r="AK2" s="6"/>
      <c r="AL2" s="13"/>
      <c r="AQ2" s="13"/>
      <c r="AR2" s="13"/>
    </row>
    <row r="3" spans="1:37" ht="12.75">
      <c r="A3" s="8" t="s">
        <v>1</v>
      </c>
      <c r="B3" s="14"/>
      <c r="C3" s="15"/>
      <c r="D3" s="2"/>
      <c r="E3" s="3"/>
      <c r="F3" s="2"/>
      <c r="G3" s="3"/>
      <c r="H3" s="2"/>
      <c r="I3" s="3"/>
      <c r="J3" s="2"/>
      <c r="K3" s="3"/>
      <c r="L3" s="2"/>
      <c r="M3" s="3"/>
      <c r="N3" s="10"/>
      <c r="O3" s="16"/>
      <c r="P3" s="9"/>
      <c r="Q3" s="16"/>
      <c r="R3" s="10"/>
      <c r="S3" s="16"/>
      <c r="T3" s="10"/>
      <c r="U3" s="16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6"/>
      <c r="AJ3" s="17"/>
      <c r="AK3" s="18"/>
    </row>
    <row r="4" spans="1:37" ht="12.75">
      <c r="A4" s="19"/>
      <c r="B4" s="20"/>
      <c r="C4" s="21"/>
      <c r="D4" s="20"/>
      <c r="E4" s="21"/>
      <c r="F4" s="20"/>
      <c r="G4" s="21"/>
      <c r="H4" s="20"/>
      <c r="I4" s="21"/>
      <c r="J4" s="20"/>
      <c r="K4" s="21"/>
      <c r="L4" s="20"/>
      <c r="M4" s="21"/>
      <c r="N4" s="20"/>
      <c r="O4" s="21"/>
      <c r="P4" s="20"/>
      <c r="Q4" s="21"/>
      <c r="R4" s="20"/>
      <c r="S4" s="21"/>
      <c r="T4" s="20"/>
      <c r="U4" s="21"/>
      <c r="V4" s="20"/>
      <c r="W4" s="20"/>
      <c r="X4" s="20"/>
      <c r="Y4" s="22"/>
      <c r="Z4" s="20"/>
      <c r="AA4" s="20"/>
      <c r="AB4" s="20"/>
      <c r="AC4" s="20"/>
      <c r="AD4" s="20"/>
      <c r="AE4" s="20"/>
      <c r="AF4" s="20"/>
      <c r="AG4" s="20"/>
      <c r="AH4" s="20"/>
      <c r="AI4" s="21"/>
      <c r="AJ4" s="17"/>
      <c r="AK4" s="23"/>
    </row>
    <row r="5" spans="1:60" s="30" customFormat="1" ht="12.75">
      <c r="A5" s="24"/>
      <c r="B5" s="99">
        <v>1991</v>
      </c>
      <c r="C5" s="24"/>
      <c r="D5" s="25">
        <v>1992</v>
      </c>
      <c r="E5" s="26"/>
      <c r="F5" s="25">
        <v>1993</v>
      </c>
      <c r="G5" s="26"/>
      <c r="H5" s="25">
        <v>1994</v>
      </c>
      <c r="I5" s="26"/>
      <c r="J5" s="25">
        <v>1995</v>
      </c>
      <c r="K5" s="26"/>
      <c r="L5" s="27">
        <v>1996</v>
      </c>
      <c r="M5" s="26"/>
      <c r="N5" s="25" t="s">
        <v>2</v>
      </c>
      <c r="O5" s="26"/>
      <c r="P5" s="25">
        <v>1998</v>
      </c>
      <c r="Q5" s="26"/>
      <c r="R5" s="25">
        <v>1999</v>
      </c>
      <c r="S5" s="26"/>
      <c r="T5" s="25">
        <v>2000</v>
      </c>
      <c r="U5" s="26"/>
      <c r="V5" s="25">
        <v>2001</v>
      </c>
      <c r="W5" s="26"/>
      <c r="X5" s="28">
        <v>2002</v>
      </c>
      <c r="Y5" s="29"/>
      <c r="Z5" s="28">
        <v>2003</v>
      </c>
      <c r="AA5" s="29"/>
      <c r="AB5" s="93">
        <v>2004</v>
      </c>
      <c r="AD5" s="93">
        <v>2005</v>
      </c>
      <c r="AF5" s="93">
        <v>2006</v>
      </c>
      <c r="AH5" s="93">
        <v>2007</v>
      </c>
      <c r="AJ5" s="93">
        <v>2008</v>
      </c>
      <c r="AL5" s="93">
        <v>2009</v>
      </c>
      <c r="AN5" s="93">
        <v>2010</v>
      </c>
      <c r="AP5" s="93">
        <v>2011</v>
      </c>
      <c r="AR5" s="93">
        <v>2012</v>
      </c>
      <c r="AT5" s="93">
        <v>2013</v>
      </c>
      <c r="AV5" s="93">
        <v>2014</v>
      </c>
      <c r="AX5" s="93">
        <v>2015</v>
      </c>
      <c r="AZ5" s="93">
        <v>2016</v>
      </c>
      <c r="BB5" s="93">
        <v>2017</v>
      </c>
      <c r="BD5" s="93">
        <v>2018</v>
      </c>
      <c r="BF5" s="93">
        <v>2019</v>
      </c>
      <c r="BH5" s="93">
        <v>2020</v>
      </c>
    </row>
    <row r="6" spans="1:61" s="30" customFormat="1" ht="12">
      <c r="A6" s="31"/>
      <c r="B6" s="31" t="s">
        <v>3</v>
      </c>
      <c r="C6" s="31" t="s">
        <v>4</v>
      </c>
      <c r="D6" s="32" t="s">
        <v>3</v>
      </c>
      <c r="E6" s="33" t="s">
        <v>4</v>
      </c>
      <c r="F6" s="32" t="s">
        <v>3</v>
      </c>
      <c r="G6" s="33" t="s">
        <v>4</v>
      </c>
      <c r="H6" s="32" t="s">
        <v>3</v>
      </c>
      <c r="I6" s="33" t="s">
        <v>4</v>
      </c>
      <c r="J6" s="32" t="s">
        <v>3</v>
      </c>
      <c r="K6" s="33" t="s">
        <v>4</v>
      </c>
      <c r="L6" s="32" t="s">
        <v>3</v>
      </c>
      <c r="M6" s="33" t="s">
        <v>4</v>
      </c>
      <c r="N6" s="32" t="s">
        <v>3</v>
      </c>
      <c r="O6" s="33" t="s">
        <v>4</v>
      </c>
      <c r="P6" s="32" t="s">
        <v>3</v>
      </c>
      <c r="Q6" s="33" t="s">
        <v>4</v>
      </c>
      <c r="R6" s="32" t="s">
        <v>3</v>
      </c>
      <c r="S6" s="33" t="s">
        <v>4</v>
      </c>
      <c r="T6" s="32" t="s">
        <v>3</v>
      </c>
      <c r="U6" s="33" t="s">
        <v>4</v>
      </c>
      <c r="V6" s="32" t="s">
        <v>3</v>
      </c>
      <c r="W6" s="33" t="s">
        <v>4</v>
      </c>
      <c r="X6" s="32" t="s">
        <v>3</v>
      </c>
      <c r="Y6" s="34" t="s">
        <v>4</v>
      </c>
      <c r="Z6" s="32" t="s">
        <v>3</v>
      </c>
      <c r="AA6" s="34" t="s">
        <v>4</v>
      </c>
      <c r="AB6" s="32" t="s">
        <v>3</v>
      </c>
      <c r="AC6" s="34" t="s">
        <v>4</v>
      </c>
      <c r="AD6" s="32" t="s">
        <v>3</v>
      </c>
      <c r="AE6" s="34" t="s">
        <v>4</v>
      </c>
      <c r="AF6" s="32" t="s">
        <v>3</v>
      </c>
      <c r="AG6" s="34" t="s">
        <v>4</v>
      </c>
      <c r="AH6" s="32" t="s">
        <v>3</v>
      </c>
      <c r="AI6" s="34" t="s">
        <v>4</v>
      </c>
      <c r="AJ6" s="32" t="s">
        <v>3</v>
      </c>
      <c r="AK6" s="34" t="s">
        <v>4</v>
      </c>
      <c r="AL6" s="32" t="s">
        <v>3</v>
      </c>
      <c r="AM6" s="34" t="s">
        <v>4</v>
      </c>
      <c r="AN6" s="32" t="s">
        <v>3</v>
      </c>
      <c r="AO6" s="34" t="s">
        <v>4</v>
      </c>
      <c r="AP6" s="32" t="s">
        <v>3</v>
      </c>
      <c r="AQ6" s="34" t="s">
        <v>4</v>
      </c>
      <c r="AR6" s="32" t="s">
        <v>3</v>
      </c>
      <c r="AS6" s="34" t="s">
        <v>4</v>
      </c>
      <c r="AT6" s="32" t="s">
        <v>3</v>
      </c>
      <c r="AU6" s="34" t="s">
        <v>4</v>
      </c>
      <c r="AV6" s="32" t="s">
        <v>3</v>
      </c>
      <c r="AW6" s="34" t="s">
        <v>4</v>
      </c>
      <c r="AX6" s="32" t="s">
        <v>3</v>
      </c>
      <c r="AY6" s="34" t="s">
        <v>4</v>
      </c>
      <c r="AZ6" s="32" t="s">
        <v>3</v>
      </c>
      <c r="BA6" s="34" t="s">
        <v>4</v>
      </c>
      <c r="BB6" s="32" t="s">
        <v>3</v>
      </c>
      <c r="BC6" s="34" t="s">
        <v>4</v>
      </c>
      <c r="BD6" s="32" t="s">
        <v>3</v>
      </c>
      <c r="BE6" s="34" t="s">
        <v>4</v>
      </c>
      <c r="BF6" s="32" t="s">
        <v>3</v>
      </c>
      <c r="BG6" s="34" t="s">
        <v>4</v>
      </c>
      <c r="BH6" s="32" t="s">
        <v>3</v>
      </c>
      <c r="BI6" s="34" t="s">
        <v>4</v>
      </c>
    </row>
    <row r="7" spans="1:61" s="30" customFormat="1" ht="12.75">
      <c r="A7" s="35"/>
      <c r="B7" s="35"/>
      <c r="C7" s="35"/>
      <c r="D7" s="36"/>
      <c r="E7" s="37"/>
      <c r="F7" s="36"/>
      <c r="G7" s="37"/>
      <c r="H7" s="36"/>
      <c r="I7" s="37"/>
      <c r="J7" s="36"/>
      <c r="K7" s="37"/>
      <c r="L7" s="36"/>
      <c r="M7" s="37"/>
      <c r="N7" s="36"/>
      <c r="O7" s="37"/>
      <c r="P7" s="36"/>
      <c r="Q7" s="37"/>
      <c r="R7" s="36"/>
      <c r="S7" s="37"/>
      <c r="T7" s="36"/>
      <c r="U7" s="37"/>
      <c r="V7" s="36"/>
      <c r="W7" s="37"/>
      <c r="X7" s="38"/>
      <c r="Y7" s="39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</row>
    <row r="8" spans="1:61" ht="12.75" customHeight="1">
      <c r="A8" s="40" t="s">
        <v>5</v>
      </c>
      <c r="B8" s="97">
        <v>46</v>
      </c>
      <c r="C8" s="101">
        <v>0.227</v>
      </c>
      <c r="D8" s="41">
        <v>52.190202030775666</v>
      </c>
      <c r="E8" s="42">
        <v>0.21495577598338617</v>
      </c>
      <c r="F8" s="41">
        <v>79.40405862720843</v>
      </c>
      <c r="G8" s="42">
        <v>0.2712637193169022</v>
      </c>
      <c r="H8" s="41">
        <v>100.43282537476422</v>
      </c>
      <c r="I8" s="42">
        <v>0.2390737433050285</v>
      </c>
      <c r="J8" s="41">
        <v>109.82190656410508</v>
      </c>
      <c r="K8" s="42">
        <v>0.23950002821201505</v>
      </c>
      <c r="L8" s="43">
        <v>141.5564816339977</v>
      </c>
      <c r="M8" s="42">
        <v>0.3032768492949239</v>
      </c>
      <c r="N8" s="41">
        <v>159.00982057470742</v>
      </c>
      <c r="O8" s="42">
        <v>0.3408213333490549</v>
      </c>
      <c r="P8" s="41">
        <v>117.24343472830803</v>
      </c>
      <c r="Q8" s="42">
        <v>0.2682901207288253</v>
      </c>
      <c r="R8" s="41">
        <v>78.2779104646556</v>
      </c>
      <c r="S8" s="42">
        <v>0.2223536451027264</v>
      </c>
      <c r="T8" s="41">
        <v>67.60212498910487</v>
      </c>
      <c r="U8" s="42">
        <f aca="true" t="shared" si="0" ref="U8:U16">T8/$T$21</f>
        <v>0.228223806505932</v>
      </c>
      <c r="V8" s="41">
        <v>50.53582980803006</v>
      </c>
      <c r="W8" s="42">
        <f aca="true" t="shared" si="1" ref="W8:W16">V8/$V$21</f>
        <v>0.1840527254380651</v>
      </c>
      <c r="X8" s="108">
        <v>66.47173432042415</v>
      </c>
      <c r="Y8" s="45">
        <f aca="true" t="shared" si="2" ref="Y8:Y16">X8/X$21</f>
        <v>0.2296953037991499</v>
      </c>
      <c r="Z8" s="62">
        <v>111.01856348939039</v>
      </c>
      <c r="AA8" s="45">
        <v>0.27801968362546164</v>
      </c>
      <c r="AB8" s="62">
        <f>76430994/557.4/1000</f>
        <v>137.12054897739506</v>
      </c>
      <c r="AC8" s="94">
        <f>AB8/$AB$21</f>
        <v>0.2573350121965883</v>
      </c>
      <c r="AD8" s="62">
        <f>64783330/512.5/1000</f>
        <v>126.40649756097561</v>
      </c>
      <c r="AE8" s="107">
        <f>AD8/AD$21</f>
        <v>0.2139575119066701</v>
      </c>
      <c r="AF8" s="62">
        <f>62909722/532.39/1000</f>
        <v>118.16473262082307</v>
      </c>
      <c r="AG8" s="107">
        <f aca="true" t="shared" si="3" ref="AG8:AG19">AF8/$AF$21</f>
        <v>0.1685293433895245</v>
      </c>
      <c r="AH8" s="62">
        <f>95201162/496.89/1000</f>
        <v>191.59403892209545</v>
      </c>
      <c r="AI8" s="107">
        <f>AH8/$AH$21</f>
        <v>0.2061038811543494</v>
      </c>
      <c r="AJ8" s="62">
        <f>119573412/636.45/1000</f>
        <v>187.87557860004713</v>
      </c>
      <c r="AK8" s="107">
        <f>AJ8/$AJ$21</f>
        <v>0.2133063238421959</v>
      </c>
      <c r="AL8" s="62">
        <f>117834405/507.1/1000</f>
        <v>232.3691678169986</v>
      </c>
      <c r="AM8" s="107">
        <f>AL8/$AL$21</f>
        <v>0.1933379042920513</v>
      </c>
      <c r="AN8" s="62">
        <v>221.29835259930343</v>
      </c>
      <c r="AO8" s="107">
        <f>AN8/$AN$21</f>
        <v>0.14024989091210885</v>
      </c>
      <c r="AP8" s="62">
        <v>211.274227657935</v>
      </c>
      <c r="AQ8" s="107">
        <f>AP8/$AP$21</f>
        <v>0.13304473856270735</v>
      </c>
      <c r="AR8" s="62">
        <v>343.8088611550963</v>
      </c>
      <c r="AS8" s="107">
        <f>AR8/$AR$21</f>
        <v>0.17230499247673395</v>
      </c>
      <c r="AT8" s="62">
        <v>377.7162501667906</v>
      </c>
      <c r="AU8" s="107">
        <f>AT8/$AT$21</f>
        <v>0.19130509210306962</v>
      </c>
      <c r="AV8" s="62">
        <v>388.0129081170169</v>
      </c>
      <c r="AW8" s="107">
        <f>AV8/$AV$21</f>
        <v>0.21717629920857465</v>
      </c>
      <c r="AX8" s="62">
        <v>327.9671229018813</v>
      </c>
      <c r="AY8" s="107">
        <f>AX8/$AX$21</f>
        <v>0.20012532819127354</v>
      </c>
      <c r="AZ8" s="62">
        <v>404.38742438048007</v>
      </c>
      <c r="BA8" s="107">
        <f>AZ8/$AZ$21</f>
        <v>0.20550517076343183</v>
      </c>
      <c r="BB8" s="62">
        <v>373.12189670597803</v>
      </c>
      <c r="BC8" s="107">
        <f>BB8/$BB$21</f>
        <v>0.17459144004240174</v>
      </c>
      <c r="BD8" s="62">
        <v>394.6609626207234</v>
      </c>
      <c r="BE8" s="107">
        <f>BD8/$BD$21</f>
        <v>0.17979672474341732</v>
      </c>
      <c r="BF8" s="62">
        <v>347.44294147501137</v>
      </c>
      <c r="BG8" s="107">
        <f>BF8/$BF$21</f>
        <v>0.15484826139103522</v>
      </c>
      <c r="BH8" s="62">
        <v>332.8206484281595</v>
      </c>
      <c r="BI8" s="107">
        <f>BH8/$BH$21</f>
        <v>0.122760355721016</v>
      </c>
    </row>
    <row r="9" spans="1:61" ht="12.75" customHeight="1">
      <c r="A9" s="46" t="s">
        <v>6</v>
      </c>
      <c r="B9" s="98">
        <v>3</v>
      </c>
      <c r="C9" s="102">
        <v>0.016</v>
      </c>
      <c r="D9" s="41">
        <v>7.200649010781953</v>
      </c>
      <c r="E9" s="42">
        <v>0.02965731182232085</v>
      </c>
      <c r="F9" s="41">
        <v>12.571111162975235</v>
      </c>
      <c r="G9" s="42">
        <v>0.04294599582150826</v>
      </c>
      <c r="H9" s="41">
        <v>36.20551722426288</v>
      </c>
      <c r="I9" s="42">
        <v>0.08618485538767043</v>
      </c>
      <c r="J9" s="41">
        <v>47.9929443857364</v>
      </c>
      <c r="K9" s="42">
        <v>0.1046631942020793</v>
      </c>
      <c r="L9" s="43">
        <v>48.54753512012612</v>
      </c>
      <c r="M9" s="42">
        <v>0.10401038032532169</v>
      </c>
      <c r="N9" s="41">
        <v>59.615360444464685</v>
      </c>
      <c r="O9" s="42">
        <v>0.127779445076607</v>
      </c>
      <c r="P9" s="41">
        <v>69.9563281894964</v>
      </c>
      <c r="Q9" s="42">
        <v>0.16008224067469853</v>
      </c>
      <c r="R9" s="41">
        <v>65.01883336163148</v>
      </c>
      <c r="S9" s="42">
        <v>0.18469034894350278</v>
      </c>
      <c r="T9" s="41">
        <v>42.3790987535954</v>
      </c>
      <c r="U9" s="42">
        <f t="shared" si="0"/>
        <v>0.14307123090280255</v>
      </c>
      <c r="V9" s="41">
        <v>40.83303196444662</v>
      </c>
      <c r="W9" s="42">
        <f t="shared" si="1"/>
        <v>0.1487148989044965</v>
      </c>
      <c r="X9" s="108">
        <v>31.890446834861745</v>
      </c>
      <c r="Y9" s="45">
        <f t="shared" si="2"/>
        <v>0.11019850691293752</v>
      </c>
      <c r="Z9" s="62">
        <v>44.636512293701585</v>
      </c>
      <c r="AA9" s="45">
        <v>0.11178156729820148</v>
      </c>
      <c r="AB9" s="62">
        <f>32191450/557.4/1000</f>
        <v>57.752870470039475</v>
      </c>
      <c r="AC9" s="94">
        <f aca="true" t="shared" si="4" ref="AC9:AC19">AB9/$AB$21</f>
        <v>0.10838518178078205</v>
      </c>
      <c r="AD9" s="62">
        <f>31550167/512.5/1000</f>
        <v>61.56130146341463</v>
      </c>
      <c r="AE9" s="107">
        <f aca="true" t="shared" si="5" ref="AE9:AE19">AD9/AD$21</f>
        <v>0.10419957158052742</v>
      </c>
      <c r="AF9" s="62">
        <f>37666068/532.39/1000</f>
        <v>70.74901481996281</v>
      </c>
      <c r="AG9" s="107">
        <f t="shared" si="3"/>
        <v>0.10090392241925947</v>
      </c>
      <c r="AH9" s="62">
        <f>29107289/496.89/1000</f>
        <v>58.57893900058363</v>
      </c>
      <c r="AI9" s="107">
        <f aca="true" t="shared" si="6" ref="AI9:AI19">AH9/$AH$21</f>
        <v>0.06301525219599001</v>
      </c>
      <c r="AJ9" s="62">
        <f>27767565/636.45/1000</f>
        <v>43.628823945321706</v>
      </c>
      <c r="AK9" s="107">
        <f aca="true" t="shared" si="7" ref="AK9:AK19">AJ9/$AJ$21</f>
        <v>0.049534399940006926</v>
      </c>
      <c r="AL9" s="62">
        <f>30135806/507.1/1000</f>
        <v>59.42773811871425</v>
      </c>
      <c r="AM9" s="107">
        <f aca="true" t="shared" si="8" ref="AM9:AM19">AL9/$AL$21</f>
        <v>0.04944560611301788</v>
      </c>
      <c r="AN9" s="62">
        <v>48.5750133544155</v>
      </c>
      <c r="AO9" s="107">
        <f aca="true" t="shared" si="9" ref="AO9:AO19">AN9/$AN$21</f>
        <v>0.030784866873123068</v>
      </c>
      <c r="AP9" s="62">
        <v>41.055196456086286</v>
      </c>
      <c r="AQ9" s="107">
        <f aca="true" t="shared" si="10" ref="AQ9:AQ18">AP9/$AP$21</f>
        <v>0.0258534982694821</v>
      </c>
      <c r="AR9" s="62">
        <v>31.856583881990165</v>
      </c>
      <c r="AS9" s="107">
        <f aca="true" t="shared" si="11" ref="AS9:AS19">AR9/$AR$21</f>
        <v>0.015965407138370944</v>
      </c>
      <c r="AT9" s="62">
        <v>19.594717980976345</v>
      </c>
      <c r="AU9" s="107">
        <f aca="true" t="shared" si="12" ref="AU9:AU18">AT9/$AT$21</f>
        <v>0.009924299858502445</v>
      </c>
      <c r="AV9" s="62">
        <v>19.1475731355583</v>
      </c>
      <c r="AW9" s="107">
        <f aca="true" t="shared" si="13" ref="AW9:AW18">AV9/$AV$21</f>
        <v>0.010717166840109314</v>
      </c>
      <c r="AX9" s="62">
        <v>26.95084347189366</v>
      </c>
      <c r="AY9" s="107">
        <f aca="true" t="shared" si="14" ref="AY9:AY19">AX9/$AX$21</f>
        <v>0.016445387412987615</v>
      </c>
      <c r="AZ9" s="62">
        <v>25.8803919518425</v>
      </c>
      <c r="BA9" s="107">
        <f aca="true" t="shared" si="15" ref="BA9:BA19">AZ9/$AZ$21</f>
        <v>0.013152126022800893</v>
      </c>
      <c r="BB9" s="62">
        <v>25.28204961366409</v>
      </c>
      <c r="BC9" s="107">
        <f>BB9/$BB$21</f>
        <v>0.011829993061895635</v>
      </c>
      <c r="BD9" s="62">
        <v>17.617005627761703</v>
      </c>
      <c r="BE9" s="107">
        <f aca="true" t="shared" si="16" ref="BE9:BE19">BD9/$BD$21</f>
        <v>0.008025825231419993</v>
      </c>
      <c r="BF9" s="62">
        <v>12.3516774848412</v>
      </c>
      <c r="BG9" s="107">
        <f aca="true" t="shared" si="17" ref="BG9:BG19">BF9/$BF$21</f>
        <v>0.00550489175480347</v>
      </c>
      <c r="BH9" s="62">
        <v>8.573791405865391</v>
      </c>
      <c r="BI9" s="107">
        <f aca="true" t="shared" si="18" ref="BI9:BI19">BH9/$BH$21</f>
        <v>0.003162429037479073</v>
      </c>
    </row>
    <row r="10" spans="1:61" ht="12.75" customHeight="1">
      <c r="A10" s="40" t="s">
        <v>7</v>
      </c>
      <c r="B10" s="97">
        <v>58</v>
      </c>
      <c r="C10" s="101">
        <v>0.289</v>
      </c>
      <c r="D10" s="41">
        <v>77.31637705432848</v>
      </c>
      <c r="E10" s="42">
        <v>0.3184429486618381</v>
      </c>
      <c r="F10" s="41">
        <v>84.35736224239736</v>
      </c>
      <c r="G10" s="42">
        <v>0.28818541809139775</v>
      </c>
      <c r="H10" s="41">
        <v>113.22880968926835</v>
      </c>
      <c r="I10" s="42">
        <v>0.2695337433889215</v>
      </c>
      <c r="J10" s="41">
        <v>72.04336339731144</v>
      </c>
      <c r="K10" s="42">
        <v>0.15711243872890548</v>
      </c>
      <c r="L10" s="43">
        <v>79.18416594112524</v>
      </c>
      <c r="M10" s="42">
        <v>0.16964764935852472</v>
      </c>
      <c r="N10" s="41">
        <v>66.81398970809235</v>
      </c>
      <c r="O10" s="42">
        <v>0.1432089727312364</v>
      </c>
      <c r="P10" s="41">
        <v>97.72833978958954</v>
      </c>
      <c r="Q10" s="42">
        <v>0.2236334012350972</v>
      </c>
      <c r="R10" s="41">
        <v>64.89778897126794</v>
      </c>
      <c r="S10" s="42">
        <v>0.18434651424918347</v>
      </c>
      <c r="T10" s="41">
        <v>60.060688573171795</v>
      </c>
      <c r="U10" s="42">
        <f t="shared" si="0"/>
        <v>0.20276402509160388</v>
      </c>
      <c r="V10" s="41">
        <v>48.148033720734894</v>
      </c>
      <c r="W10" s="42">
        <f t="shared" si="1"/>
        <v>0.17535631381632125</v>
      </c>
      <c r="X10" s="108">
        <v>55.83080391311003</v>
      </c>
      <c r="Y10" s="45">
        <f t="shared" si="2"/>
        <v>0.1929252124572932</v>
      </c>
      <c r="Z10" s="62">
        <v>70.4080801616706</v>
      </c>
      <c r="AA10" s="45">
        <v>0.17632035180399805</v>
      </c>
      <c r="AB10" s="62">
        <f>60489674/557.4/1000</f>
        <v>108.52112307140295</v>
      </c>
      <c r="AC10" s="94">
        <f t="shared" si="4"/>
        <v>0.2036622864875688</v>
      </c>
      <c r="AD10" s="62">
        <f>63878388/512.5/1000</f>
        <v>124.64075707317073</v>
      </c>
      <c r="AE10" s="107">
        <f t="shared" si="5"/>
        <v>0.21096879337769286</v>
      </c>
      <c r="AF10" s="62">
        <f>80251070/532.39/1000</f>
        <v>150.73737297845565</v>
      </c>
      <c r="AG10" s="107">
        <f t="shared" si="3"/>
        <v>0.21498521537588053</v>
      </c>
      <c r="AH10" s="62">
        <f>110178786/496.89/1000</f>
        <v>221.7367747388758</v>
      </c>
      <c r="AI10" s="107">
        <f t="shared" si="6"/>
        <v>0.2385293933226833</v>
      </c>
      <c r="AJ10" s="62">
        <f>112740411/636.45/1000</f>
        <v>177.1394626443554</v>
      </c>
      <c r="AK10" s="107">
        <f t="shared" si="7"/>
        <v>0.20111697254961883</v>
      </c>
      <c r="AL10" s="62">
        <f>110819249/507.1/1000</f>
        <v>218.53529678564385</v>
      </c>
      <c r="AM10" s="107">
        <f>AL10/$AL$21</f>
        <v>0.18182772134232783</v>
      </c>
      <c r="AN10" s="62">
        <v>179.1980470502767</v>
      </c>
      <c r="AO10" s="107">
        <f>AN10/$AN$21</f>
        <v>0.1135684303803686</v>
      </c>
      <c r="AP10" s="62">
        <v>239.89537365177193</v>
      </c>
      <c r="AQ10" s="107">
        <f t="shared" si="10"/>
        <v>0.15106819995848303</v>
      </c>
      <c r="AR10" s="62">
        <v>294.85435869655805</v>
      </c>
      <c r="AS10" s="107">
        <f t="shared" si="11"/>
        <v>0.14777070575276405</v>
      </c>
      <c r="AT10" s="62">
        <v>347.25603591239206</v>
      </c>
      <c r="AU10" s="107">
        <f t="shared" si="12"/>
        <v>0.175877653937929</v>
      </c>
      <c r="AV10" s="62">
        <v>274.36148660898226</v>
      </c>
      <c r="AW10" s="107">
        <f t="shared" si="13"/>
        <v>0.15356399506464896</v>
      </c>
      <c r="AX10" s="62">
        <v>266.50468063534976</v>
      </c>
      <c r="AY10" s="107">
        <f t="shared" si="14"/>
        <v>0.16262098531326286</v>
      </c>
      <c r="AZ10" s="62">
        <v>325.8457182547388</v>
      </c>
      <c r="BA10" s="107">
        <f t="shared" si="15"/>
        <v>0.16559115327352283</v>
      </c>
      <c r="BB10" s="62">
        <v>286.48632940219596</v>
      </c>
      <c r="BC10" s="107">
        <f aca="true" t="shared" si="19" ref="BC10:BC19">BB10/$BB$21</f>
        <v>0.1340528691678627</v>
      </c>
      <c r="BD10" s="62">
        <v>347.38178533903306</v>
      </c>
      <c r="BE10" s="107">
        <f t="shared" si="16"/>
        <v>0.15825762655807035</v>
      </c>
      <c r="BF10" s="62">
        <v>250.3294508106953</v>
      </c>
      <c r="BG10" s="107">
        <f t="shared" si="17"/>
        <v>0.11156675127273162</v>
      </c>
      <c r="BH10" s="62">
        <v>259.2628553344117</v>
      </c>
      <c r="BI10" s="107">
        <f t="shared" si="18"/>
        <v>0.09562868318540851</v>
      </c>
    </row>
    <row r="11" spans="1:61" ht="12.75" customHeight="1">
      <c r="A11" s="40" t="s">
        <v>8</v>
      </c>
      <c r="B11" s="97">
        <v>23</v>
      </c>
      <c r="C11" s="101">
        <v>0.113</v>
      </c>
      <c r="D11" s="41">
        <v>25.68181984716843</v>
      </c>
      <c r="E11" s="42">
        <v>0.10577570691637292</v>
      </c>
      <c r="F11" s="41">
        <v>25.888552290708798</v>
      </c>
      <c r="G11" s="42">
        <v>0.08844163766336018</v>
      </c>
      <c r="H11" s="41">
        <v>54.410649756775534</v>
      </c>
      <c r="I11" s="42">
        <v>0.1295209774739617</v>
      </c>
      <c r="J11" s="41">
        <v>54.78726991226561</v>
      </c>
      <c r="K11" s="42">
        <v>0.11948028494649747</v>
      </c>
      <c r="L11" s="43">
        <v>41.19597618655434</v>
      </c>
      <c r="M11" s="42">
        <v>0.08826007624144196</v>
      </c>
      <c r="N11" s="41">
        <v>17.510250922173142</v>
      </c>
      <c r="O11" s="42">
        <v>0.03753143702069452</v>
      </c>
      <c r="P11" s="41">
        <v>8.136887449461273</v>
      </c>
      <c r="Q11" s="42">
        <v>0.018619776205223534</v>
      </c>
      <c r="R11" s="41">
        <v>5.0637255456826455</v>
      </c>
      <c r="S11" s="42">
        <v>0.014383851410938172</v>
      </c>
      <c r="T11" s="41">
        <v>4.997280571777217</v>
      </c>
      <c r="U11" s="42">
        <f t="shared" si="0"/>
        <v>0.016870747693995502</v>
      </c>
      <c r="V11" s="41">
        <v>6.481120664640573</v>
      </c>
      <c r="W11" s="42">
        <f t="shared" si="1"/>
        <v>0.023604399625995982</v>
      </c>
      <c r="X11" s="108">
        <v>5.080960465342814</v>
      </c>
      <c r="Y11" s="45">
        <f t="shared" si="2"/>
        <v>0.01755742902769113</v>
      </c>
      <c r="Z11" s="62">
        <v>4.571753115527113</v>
      </c>
      <c r="AA11" s="45">
        <v>0.01144887228624639</v>
      </c>
      <c r="AB11" s="62">
        <f>4656608/557.4/1000</f>
        <v>8.35415859346968</v>
      </c>
      <c r="AC11" s="94">
        <f t="shared" si="4"/>
        <v>0.01567830292086389</v>
      </c>
      <c r="AD11" s="62">
        <f>4163574/512.5/1000</f>
        <v>8.124046829268293</v>
      </c>
      <c r="AE11" s="107">
        <f t="shared" si="5"/>
        <v>0.013750882112409197</v>
      </c>
      <c r="AF11" s="62">
        <f>5652569/532.39/1000</f>
        <v>10.617346306279233</v>
      </c>
      <c r="AG11" s="107">
        <f t="shared" si="3"/>
        <v>0.015142711042881118</v>
      </c>
      <c r="AH11" s="62">
        <f>9703844/496.89/1000</f>
        <v>19.52915937128942</v>
      </c>
      <c r="AI11" s="107">
        <f t="shared" si="6"/>
        <v>0.021008145998431683</v>
      </c>
      <c r="AJ11" s="62">
        <f>3639404/636.45/1000</f>
        <v>5.718287375284783</v>
      </c>
      <c r="AK11" s="107">
        <f>AJ11/$AJ$21</f>
        <v>0.006492311921454438</v>
      </c>
      <c r="AL11" s="62">
        <f>14471103/507.1/1000</f>
        <v>28.53698087162295</v>
      </c>
      <c r="AM11" s="107">
        <f t="shared" si="8"/>
        <v>0.02374359786358166</v>
      </c>
      <c r="AN11" s="62">
        <v>19.117326552851434</v>
      </c>
      <c r="AO11" s="107">
        <f t="shared" si="9"/>
        <v>0.012115783656208813</v>
      </c>
      <c r="AP11" s="62">
        <v>11.834189137134052</v>
      </c>
      <c r="AQ11" s="107">
        <f t="shared" si="10"/>
        <v>0.007452288986240189</v>
      </c>
      <c r="AR11" s="62">
        <v>10.897387282273524</v>
      </c>
      <c r="AS11" s="107">
        <f t="shared" si="11"/>
        <v>0.005461389876281153</v>
      </c>
      <c r="AT11" s="62">
        <v>7.042894721793332</v>
      </c>
      <c r="AU11" s="107">
        <f t="shared" si="12"/>
        <v>0.003567073491886944</v>
      </c>
      <c r="AV11" s="62">
        <v>4.8830028842192</v>
      </c>
      <c r="AW11" s="107">
        <f t="shared" si="13"/>
        <v>0.0027330856093573694</v>
      </c>
      <c r="AX11" s="62">
        <v>4.0005702940182495</v>
      </c>
      <c r="AY11" s="107">
        <f t="shared" si="14"/>
        <v>0.002441145429330683</v>
      </c>
      <c r="AZ11" s="62">
        <v>2.1295382914843084</v>
      </c>
      <c r="BA11" s="107">
        <f t="shared" si="15"/>
        <v>0.0010822075659479243</v>
      </c>
      <c r="BB11" s="62">
        <v>4.1001220008133386</v>
      </c>
      <c r="BC11" s="107">
        <f t="shared" si="19"/>
        <v>0.0019185317473759112</v>
      </c>
      <c r="BD11" s="62">
        <v>9.371676957842164</v>
      </c>
      <c r="BE11" s="107">
        <f t="shared" si="16"/>
        <v>0.004269479330269327</v>
      </c>
      <c r="BF11" s="62">
        <v>14.50704516921762</v>
      </c>
      <c r="BG11" s="107">
        <f t="shared" si="17"/>
        <v>0.006465495349647588</v>
      </c>
      <c r="BH11" s="62">
        <v>23.59667768478796</v>
      </c>
      <c r="BI11" s="107">
        <f t="shared" si="18"/>
        <v>0.008703596246505125</v>
      </c>
    </row>
    <row r="12" spans="1:61" ht="12.75" customHeight="1">
      <c r="A12" s="40" t="s">
        <v>9</v>
      </c>
      <c r="B12" s="97">
        <v>13</v>
      </c>
      <c r="C12" s="101">
        <v>0.066</v>
      </c>
      <c r="D12" s="41">
        <v>15.717588715586725</v>
      </c>
      <c r="E12" s="42">
        <v>0.06473602989607827</v>
      </c>
      <c r="F12" s="41">
        <v>16.637342170980464</v>
      </c>
      <c r="G12" s="42">
        <v>0.05683723722532305</v>
      </c>
      <c r="H12" s="41">
        <v>28.90034746351633</v>
      </c>
      <c r="I12" s="42">
        <v>0.06879537865370997</v>
      </c>
      <c r="J12" s="41">
        <v>30.25236784546951</v>
      </c>
      <c r="K12" s="42">
        <v>0.06597447794480699</v>
      </c>
      <c r="L12" s="43">
        <v>32.32737134385957</v>
      </c>
      <c r="M12" s="42">
        <v>0.06925958609583069</v>
      </c>
      <c r="N12" s="41">
        <v>26.251170362949132</v>
      </c>
      <c r="O12" s="42">
        <v>0.05626670637534602</v>
      </c>
      <c r="P12" s="41">
        <v>25.14841133760928</v>
      </c>
      <c r="Q12" s="42">
        <v>0.057547532017810245</v>
      </c>
      <c r="R12" s="41">
        <v>23.53892316109193</v>
      </c>
      <c r="S12" s="42">
        <v>0.06686388708631977</v>
      </c>
      <c r="T12" s="41">
        <v>34.95589993898719</v>
      </c>
      <c r="U12" s="42">
        <f t="shared" si="0"/>
        <v>0.1180106179384431</v>
      </c>
      <c r="V12" s="41">
        <v>42.19627972327006</v>
      </c>
      <c r="W12" s="42">
        <f t="shared" si="1"/>
        <v>0.15367988051085213</v>
      </c>
      <c r="X12" s="108">
        <v>39.93642448616078</v>
      </c>
      <c r="Y12" s="45">
        <f t="shared" si="2"/>
        <v>0.13800165211248208</v>
      </c>
      <c r="Z12" s="62">
        <v>64.12663354664872</v>
      </c>
      <c r="AA12" s="45">
        <v>0.16058995730303238</v>
      </c>
      <c r="AB12" s="62">
        <f>52835078/557.4/1000</f>
        <v>94.78844277000358</v>
      </c>
      <c r="AC12" s="94">
        <f t="shared" si="4"/>
        <v>0.17789007744080487</v>
      </c>
      <c r="AD12" s="62">
        <f>53627276/512.5/1000</f>
        <v>104.63858731707316</v>
      </c>
      <c r="AE12" s="107">
        <f t="shared" si="5"/>
        <v>0.17711282429125336</v>
      </c>
      <c r="AF12" s="62">
        <f>61893269/532.39/1000</f>
        <v>116.25550630177126</v>
      </c>
      <c r="AG12" s="107">
        <f t="shared" si="3"/>
        <v>0.16580635954489215</v>
      </c>
      <c r="AH12" s="62">
        <f>74688671/496.89/1000</f>
        <v>150.31228440902413</v>
      </c>
      <c r="AI12" s="107">
        <f>AH12/$AH$21</f>
        <v>0.16169576765628452</v>
      </c>
      <c r="AJ12" s="62">
        <f>108487323/636.45/1000</f>
        <v>170.45694555738862</v>
      </c>
      <c r="AK12" s="107">
        <f t="shared" si="7"/>
        <v>0.19352991326040694</v>
      </c>
      <c r="AL12" s="62">
        <f>131891655/507.1/1000</f>
        <v>260.0900315519621</v>
      </c>
      <c r="AM12" s="107">
        <f t="shared" si="8"/>
        <v>0.2164024689674484</v>
      </c>
      <c r="AN12" s="62">
        <v>322.1965599025662</v>
      </c>
      <c r="AO12" s="107">
        <f t="shared" si="9"/>
        <v>0.20419506899995735</v>
      </c>
      <c r="AP12" s="62">
        <v>342.2689464560862</v>
      </c>
      <c r="AQ12" s="107">
        <f t="shared" si="10"/>
        <v>0.21553543470105782</v>
      </c>
      <c r="AR12" s="62">
        <v>418.7403908659055</v>
      </c>
      <c r="AS12" s="107">
        <f t="shared" si="11"/>
        <v>0.20985805792046258</v>
      </c>
      <c r="AT12" s="62">
        <v>385.19310344827585</v>
      </c>
      <c r="AU12" s="107">
        <f t="shared" si="12"/>
        <v>0.1950919561975428</v>
      </c>
      <c r="AV12" s="62">
        <v>287.2402620519159</v>
      </c>
      <c r="AW12" s="107">
        <f t="shared" si="13"/>
        <v>0.1607724273887383</v>
      </c>
      <c r="AX12" s="62">
        <v>261.5383491044272</v>
      </c>
      <c r="AY12" s="107">
        <f t="shared" si="14"/>
        <v>0.159590532996157</v>
      </c>
      <c r="AZ12" s="62">
        <v>320.29295114045436</v>
      </c>
      <c r="BA12" s="107">
        <f t="shared" si="15"/>
        <v>0.16276929906829182</v>
      </c>
      <c r="BB12" s="62">
        <v>400.3415583570557</v>
      </c>
      <c r="BC12" s="107">
        <f t="shared" si="19"/>
        <v>0.18732808178624838</v>
      </c>
      <c r="BD12" s="62">
        <v>394.5470918433439</v>
      </c>
      <c r="BE12" s="107">
        <f t="shared" si="16"/>
        <v>0.17974484833618193</v>
      </c>
      <c r="BF12" s="62">
        <v>431.1618065015893</v>
      </c>
      <c r="BG12" s="107">
        <f t="shared" si="17"/>
        <v>0.19216005894824278</v>
      </c>
      <c r="BH12" s="62">
        <v>562.0727252268091</v>
      </c>
      <c r="BI12" s="107">
        <f t="shared" si="18"/>
        <v>0.2073196119765926</v>
      </c>
    </row>
    <row r="13" spans="1:61" ht="12.75" customHeight="1">
      <c r="A13" s="46" t="s">
        <v>10</v>
      </c>
      <c r="B13" s="98">
        <v>1</v>
      </c>
      <c r="C13" s="102">
        <v>0.003</v>
      </c>
      <c r="D13" s="41">
        <v>1.145517115042395</v>
      </c>
      <c r="E13" s="42">
        <v>0.004718041141534325</v>
      </c>
      <c r="F13" s="41">
        <v>3.2135038625808106</v>
      </c>
      <c r="G13" s="42">
        <v>0.010978116545596887</v>
      </c>
      <c r="H13" s="41">
        <v>8.422880472550382</v>
      </c>
      <c r="I13" s="42">
        <v>0.02005011366024387</v>
      </c>
      <c r="J13" s="41">
        <v>5.375409795777935</v>
      </c>
      <c r="K13" s="42">
        <v>0.011722713964981769</v>
      </c>
      <c r="L13" s="43">
        <v>4.788575664164529</v>
      </c>
      <c r="M13" s="42">
        <v>0.010259255692671687</v>
      </c>
      <c r="N13" s="41">
        <v>7.77451842069311</v>
      </c>
      <c r="O13" s="42">
        <v>0.01666388732916341</v>
      </c>
      <c r="P13" s="41">
        <v>7.705958806968522</v>
      </c>
      <c r="Q13" s="42">
        <v>0.017633674955394023</v>
      </c>
      <c r="R13" s="41">
        <v>14.272399871715056</v>
      </c>
      <c r="S13" s="42">
        <v>0.04054170732204776</v>
      </c>
      <c r="T13" s="41">
        <v>13.909756820360847</v>
      </c>
      <c r="U13" s="42">
        <f t="shared" si="0"/>
        <v>0.04695913996233444</v>
      </c>
      <c r="V13" s="41">
        <v>8.403622535469388</v>
      </c>
      <c r="W13" s="42">
        <f t="shared" si="1"/>
        <v>0.030606198356321723</v>
      </c>
      <c r="X13" s="108">
        <v>6.601525166641154</v>
      </c>
      <c r="Y13" s="45">
        <f t="shared" si="2"/>
        <v>0.022811791270255184</v>
      </c>
      <c r="Z13" s="62">
        <v>7.643221623442237</v>
      </c>
      <c r="AA13" s="45">
        <v>0.019140637302803624</v>
      </c>
      <c r="AB13" s="62">
        <f>6786103/557.4/1000</f>
        <v>12.174565841406531</v>
      </c>
      <c r="AC13" s="94">
        <f t="shared" si="4"/>
        <v>0.022848085663681208</v>
      </c>
      <c r="AD13" s="62">
        <f>15357618/512.5/1000</f>
        <v>29.966083902439028</v>
      </c>
      <c r="AE13" s="107">
        <f t="shared" si="5"/>
        <v>0.050721037898068706</v>
      </c>
      <c r="AF13" s="62">
        <f>23804909/532.39/1000</f>
        <v>44.71329100847124</v>
      </c>
      <c r="AG13" s="107">
        <f t="shared" si="3"/>
        <v>0.06377115580350812</v>
      </c>
      <c r="AH13" s="62">
        <f>47043676/496.89/1000</f>
        <v>94.67623820161404</v>
      </c>
      <c r="AI13" s="107">
        <f t="shared" si="6"/>
        <v>0.10184628006292316</v>
      </c>
      <c r="AJ13" s="62">
        <f>74060648/636.45/1000</f>
        <v>116.3652258622044</v>
      </c>
      <c r="AK13" s="107">
        <f t="shared" si="7"/>
        <v>0.1321163651853547</v>
      </c>
      <c r="AL13" s="62">
        <f>80739699/507.1/1000</f>
        <v>159.21849536580555</v>
      </c>
      <c r="AM13" s="107">
        <f t="shared" si="8"/>
        <v>0.13247441778851457</v>
      </c>
      <c r="AN13" s="62">
        <v>254.62480502553365</v>
      </c>
      <c r="AO13" s="107">
        <f t="shared" si="9"/>
        <v>0.16137084035600038</v>
      </c>
      <c r="AP13" s="62">
        <v>296.57694337442217</v>
      </c>
      <c r="AQ13" s="107">
        <f t="shared" si="10"/>
        <v>0.18676202172118037</v>
      </c>
      <c r="AR13" s="62">
        <v>424.1036398866572</v>
      </c>
      <c r="AS13" s="107">
        <f t="shared" si="11"/>
        <v>0.2125459309993202</v>
      </c>
      <c r="AT13" s="62">
        <v>435.58777377480413</v>
      </c>
      <c r="AU13" s="107">
        <f t="shared" si="12"/>
        <v>0.2206157641990868</v>
      </c>
      <c r="AV13" s="62">
        <v>441.4344886691389</v>
      </c>
      <c r="AW13" s="107">
        <f t="shared" si="13"/>
        <v>0.24707711157712534</v>
      </c>
      <c r="AX13" s="62">
        <v>371.35972456911117</v>
      </c>
      <c r="AY13" s="107">
        <f t="shared" si="14"/>
        <v>0.22660346591706498</v>
      </c>
      <c r="AZ13" s="62">
        <v>441.05676878724955</v>
      </c>
      <c r="BA13" s="107">
        <f t="shared" si="15"/>
        <v>0.22414012187656543</v>
      </c>
      <c r="BB13" s="62">
        <v>574.5558047986987</v>
      </c>
      <c r="BC13" s="107">
        <f t="shared" si="19"/>
        <v>0.2688465250367567</v>
      </c>
      <c r="BD13" s="62">
        <v>561.8083711156211</v>
      </c>
      <c r="BE13" s="107">
        <f t="shared" si="16"/>
        <v>0.2559445058595692</v>
      </c>
      <c r="BF13" s="62">
        <v>652.396715815904</v>
      </c>
      <c r="BG13" s="107">
        <f t="shared" si="17"/>
        <v>0.29075996407479104</v>
      </c>
      <c r="BH13" s="62">
        <v>850.5978676418875</v>
      </c>
      <c r="BI13" s="107">
        <f t="shared" si="18"/>
        <v>0.313741642234061</v>
      </c>
    </row>
    <row r="14" spans="1:61" ht="12.75" customHeight="1">
      <c r="A14" s="40" t="s">
        <v>11</v>
      </c>
      <c r="B14" s="97">
        <v>10</v>
      </c>
      <c r="C14" s="101">
        <v>0.052</v>
      </c>
      <c r="D14" s="41">
        <v>14.90051292787606</v>
      </c>
      <c r="E14" s="42">
        <v>0.06137073999202667</v>
      </c>
      <c r="F14" s="41">
        <v>16.960851401498353</v>
      </c>
      <c r="G14" s="42">
        <v>0.057942424020819686</v>
      </c>
      <c r="H14" s="41">
        <v>15.253477117045566</v>
      </c>
      <c r="I14" s="42">
        <v>0.036309900265993976</v>
      </c>
      <c r="J14" s="41">
        <v>25.128151188223438</v>
      </c>
      <c r="K14" s="42">
        <v>0.05479956692413059</v>
      </c>
      <c r="L14" s="43">
        <v>25.89087464997529</v>
      </c>
      <c r="M14" s="42">
        <v>0.055469751711097054</v>
      </c>
      <c r="N14" s="41">
        <v>28.43263582130334</v>
      </c>
      <c r="O14" s="42">
        <v>0.060942455102588146</v>
      </c>
      <c r="P14" s="41">
        <v>30.761734510277087</v>
      </c>
      <c r="Q14" s="42">
        <v>0.07039259370655093</v>
      </c>
      <c r="R14" s="41">
        <v>22.357273567642007</v>
      </c>
      <c r="S14" s="42">
        <v>0.06350733230888508</v>
      </c>
      <c r="T14" s="41">
        <v>17.170553473372266</v>
      </c>
      <c r="U14" s="42">
        <f t="shared" si="0"/>
        <v>0.0579675427974821</v>
      </c>
      <c r="V14" s="41">
        <v>22.454396065914263</v>
      </c>
      <c r="W14" s="42">
        <f t="shared" si="1"/>
        <v>0.08177945844950969</v>
      </c>
      <c r="X14" s="108">
        <v>34.38565424917549</v>
      </c>
      <c r="Y14" s="45">
        <f t="shared" si="2"/>
        <v>0.11882077968695455</v>
      </c>
      <c r="Z14" s="62">
        <v>29.86167901650387</v>
      </c>
      <c r="AA14" s="45">
        <v>0.07478149862285777</v>
      </c>
      <c r="AB14" s="62">
        <f>21356438/557.4/1000</f>
        <v>38.314384642985296</v>
      </c>
      <c r="AC14" s="94">
        <f t="shared" si="4"/>
        <v>0.07190485097191962</v>
      </c>
      <c r="AD14" s="62">
        <f>26898654/512.5/1000</f>
        <v>52.485178536585366</v>
      </c>
      <c r="AE14" s="107">
        <f t="shared" si="5"/>
        <v>0.08883719134966354</v>
      </c>
      <c r="AF14" s="62">
        <f>26958933/532.39/1000</f>
        <v>50.63756456732847</v>
      </c>
      <c r="AG14" s="107">
        <f t="shared" si="3"/>
        <v>0.0722204952196766</v>
      </c>
      <c r="AH14" s="62">
        <f>35778955/496.89/1000</f>
        <v>72.00578598885065</v>
      </c>
      <c r="AI14" s="107">
        <f t="shared" si="6"/>
        <v>0.07745894413711898</v>
      </c>
      <c r="AJ14" s="62">
        <f>46041346/636.45/1000</f>
        <v>72.34086888208027</v>
      </c>
      <c r="AK14" s="107">
        <f t="shared" si="7"/>
        <v>0.08213289305490913</v>
      </c>
      <c r="AL14" s="62">
        <f>38002645/507.1/1000</f>
        <v>74.94112601064879</v>
      </c>
      <c r="AM14" s="107">
        <f t="shared" si="8"/>
        <v>0.06235319592656153</v>
      </c>
      <c r="AN14" s="62">
        <v>282.9921326467383</v>
      </c>
      <c r="AO14" s="107">
        <f t="shared" si="9"/>
        <v>0.17934889829277026</v>
      </c>
      <c r="AP14" s="62">
        <v>164.88722457627117</v>
      </c>
      <c r="AQ14" s="107">
        <f t="shared" si="10"/>
        <v>0.10383366645930082</v>
      </c>
      <c r="AR14" s="62">
        <v>196.63623010250856</v>
      </c>
      <c r="AS14" s="107">
        <f t="shared" si="11"/>
        <v>0.09854721031515751</v>
      </c>
      <c r="AT14" s="62">
        <v>165.15290024970932</v>
      </c>
      <c r="AU14" s="107">
        <f t="shared" si="12"/>
        <v>0.08364636358485578</v>
      </c>
      <c r="AV14" s="62">
        <v>137.88353193242688</v>
      </c>
      <c r="AW14" s="107">
        <f t="shared" si="13"/>
        <v>0.07717535824313601</v>
      </c>
      <c r="AX14" s="62">
        <v>196.80848541173822</v>
      </c>
      <c r="AY14" s="107">
        <f t="shared" si="14"/>
        <v>0.12009241165808836</v>
      </c>
      <c r="AZ14" s="62">
        <v>218.1120244372414</v>
      </c>
      <c r="BA14" s="107">
        <f t="shared" si="15"/>
        <v>0.11084209380695256</v>
      </c>
      <c r="BB14" s="62">
        <v>207.76876453843025</v>
      </c>
      <c r="BC14" s="107">
        <f t="shared" si="19"/>
        <v>0.09721929513340741</v>
      </c>
      <c r="BD14" s="62">
        <v>212.2534090418412</v>
      </c>
      <c r="BE14" s="107">
        <f t="shared" si="16"/>
        <v>0.09669683950480487</v>
      </c>
      <c r="BF14" s="62">
        <v>224.46111066591874</v>
      </c>
      <c r="BG14" s="107">
        <f t="shared" si="17"/>
        <v>0.10003775753498241</v>
      </c>
      <c r="BH14" s="62">
        <v>320.18713974259794</v>
      </c>
      <c r="BI14" s="107">
        <f t="shared" si="18"/>
        <v>0.11810050655730389</v>
      </c>
    </row>
    <row r="15" spans="1:61" ht="12.75" customHeight="1">
      <c r="A15" s="40" t="s">
        <v>19</v>
      </c>
      <c r="B15" s="97">
        <v>2</v>
      </c>
      <c r="C15" s="101">
        <v>0.012</v>
      </c>
      <c r="D15" s="41">
        <v>1.2842536376007536</v>
      </c>
      <c r="E15" s="42">
        <v>0.005289455232749815</v>
      </c>
      <c r="F15" s="41">
        <v>1.7711788456601394</v>
      </c>
      <c r="G15" s="42">
        <v>0.006050780899057906</v>
      </c>
      <c r="H15" s="41">
        <v>2.96465799662464</v>
      </c>
      <c r="I15" s="42">
        <v>0.007057173610594575</v>
      </c>
      <c r="J15" s="41">
        <v>23.80647809097835</v>
      </c>
      <c r="K15" s="42">
        <v>0.05191725724675771</v>
      </c>
      <c r="L15" s="43">
        <v>14.165016354095583</v>
      </c>
      <c r="M15" s="42">
        <v>0.030347755754402874</v>
      </c>
      <c r="N15" s="41">
        <v>27.3030101552894</v>
      </c>
      <c r="O15" s="42">
        <v>0.0585212176954602</v>
      </c>
      <c r="P15" s="41">
        <v>26.692136068245805</v>
      </c>
      <c r="Q15" s="42">
        <v>0.06108006324494725</v>
      </c>
      <c r="R15" s="41">
        <v>20.85505687928009</v>
      </c>
      <c r="S15" s="42">
        <v>0.0592401852375253</v>
      </c>
      <c r="T15" s="41">
        <v>16.466589383770593</v>
      </c>
      <c r="U15" s="42">
        <f t="shared" si="0"/>
        <v>0.05559097010545105</v>
      </c>
      <c r="V15" s="41">
        <v>18.252613815116298</v>
      </c>
      <c r="W15" s="42">
        <f t="shared" si="1"/>
        <v>0.06647646495174052</v>
      </c>
      <c r="X15" s="108">
        <v>16.574767954801633</v>
      </c>
      <c r="Y15" s="45">
        <f t="shared" si="2"/>
        <v>0.05727466568611539</v>
      </c>
      <c r="Z15" s="62">
        <v>31.80298080161671</v>
      </c>
      <c r="AA15" s="45">
        <v>0.07964302890351388</v>
      </c>
      <c r="AB15" s="62">
        <f>(7496388+15048243)/557.4/1000</f>
        <v>40.44605489773951</v>
      </c>
      <c r="AC15" s="94">
        <f t="shared" si="4"/>
        <v>0.07590537018729054</v>
      </c>
      <c r="AD15" s="62">
        <f>(6391690+16185573)/512.5/1000</f>
        <v>44.05319609756098</v>
      </c>
      <c r="AE15" s="107">
        <f t="shared" si="5"/>
        <v>0.07456509285864932</v>
      </c>
      <c r="AF15" s="62">
        <f>(373496514-322095950)/532.39/1000</f>
        <v>96.54682469618137</v>
      </c>
      <c r="AG15" s="107">
        <f t="shared" si="3"/>
        <v>0.1376973705395047</v>
      </c>
      <c r="AH15" s="62">
        <f>(462064223-437263200)/496.89/1000</f>
        <v>49.91250176095313</v>
      </c>
      <c r="AI15" s="107">
        <f t="shared" si="6"/>
        <v>0.0536924864099693</v>
      </c>
      <c r="AJ15" s="62">
        <f>(560851223-525707700)/636.45/1000</f>
        <v>55.21804226569251</v>
      </c>
      <c r="AK15" s="107">
        <f t="shared" si="7"/>
        <v>0.0626923291107028</v>
      </c>
      <c r="AL15" s="62">
        <f>45270201/507.1/1000</f>
        <v>89.2727292447249</v>
      </c>
      <c r="AM15" s="107">
        <f t="shared" si="8"/>
        <v>0.07427750654165839</v>
      </c>
      <c r="AN15" s="62">
        <v>152.69478857289374</v>
      </c>
      <c r="AO15" s="107">
        <f t="shared" si="9"/>
        <v>0.09677174361515459</v>
      </c>
      <c r="AP15" s="62">
        <v>187.6310785824345</v>
      </c>
      <c r="AQ15" s="107">
        <f t="shared" si="10"/>
        <v>0.11815604805644277</v>
      </c>
      <c r="AR15" s="62">
        <v>169.66427618968248</v>
      </c>
      <c r="AS15" s="107">
        <f t="shared" si="11"/>
        <v>0.0850298091044429</v>
      </c>
      <c r="AT15" s="62">
        <v>113.32620232172471</v>
      </c>
      <c r="AU15" s="107">
        <f t="shared" si="12"/>
        <v>0.05739726464846382</v>
      </c>
      <c r="AV15" s="62">
        <v>115.25189122373301</v>
      </c>
      <c r="AW15" s="107">
        <f t="shared" si="13"/>
        <v>0.06450810962508237</v>
      </c>
      <c r="AX15" s="62">
        <v>69.50920496789456</v>
      </c>
      <c r="AY15" s="107">
        <f t="shared" si="14"/>
        <v>0.04241447232098339</v>
      </c>
      <c r="AZ15" s="62">
        <v>104.20923566403273</v>
      </c>
      <c r="BA15" s="107">
        <f t="shared" si="15"/>
        <v>0.0529579692125003</v>
      </c>
      <c r="BB15" s="62">
        <v>124.84150955673039</v>
      </c>
      <c r="BC15" s="107">
        <f t="shared" si="19"/>
        <v>0.05841592016710931</v>
      </c>
      <c r="BD15" s="62">
        <v>141.50100896699627</v>
      </c>
      <c r="BE15" s="107">
        <f t="shared" si="16"/>
        <v>0.06446398395020521</v>
      </c>
      <c r="BF15" s="62">
        <v>173.50479872853057</v>
      </c>
      <c r="BG15" s="107">
        <f t="shared" si="17"/>
        <v>0.07732756438238585</v>
      </c>
      <c r="BH15" s="62">
        <v>169.60199310781346</v>
      </c>
      <c r="BI15" s="107">
        <f t="shared" si="18"/>
        <v>0.06255741974916151</v>
      </c>
    </row>
    <row r="16" spans="1:61" ht="12.75" customHeight="1">
      <c r="A16" s="40" t="s">
        <v>12</v>
      </c>
      <c r="B16" s="97">
        <v>45</v>
      </c>
      <c r="C16" s="101">
        <v>0.222</v>
      </c>
      <c r="D16" s="47">
        <v>47.35814665550089</v>
      </c>
      <c r="E16" s="42">
        <v>0.19505399035369286</v>
      </c>
      <c r="F16" s="47">
        <v>51.91509090484748</v>
      </c>
      <c r="G16" s="42">
        <v>0.1773546704160342</v>
      </c>
      <c r="H16" s="47">
        <v>57.5055221880274</v>
      </c>
      <c r="I16" s="42">
        <v>0.13688811799231293</v>
      </c>
      <c r="J16" s="47">
        <v>86.64816789953552</v>
      </c>
      <c r="K16" s="42">
        <v>0.18896265149380473</v>
      </c>
      <c r="L16" s="48">
        <v>78.82643245405556</v>
      </c>
      <c r="M16" s="42">
        <v>0.16888122535876546</v>
      </c>
      <c r="N16" s="41">
        <v>60.710551482307935</v>
      </c>
      <c r="O16" s="42">
        <v>0.1301268753701611</v>
      </c>
      <c r="P16" s="41">
        <v>48.93815753265172</v>
      </c>
      <c r="Q16" s="42">
        <v>0.111986007771839</v>
      </c>
      <c r="R16" s="41">
        <v>52.55768860716509</v>
      </c>
      <c r="S16" s="42">
        <v>0.149293633039092</v>
      </c>
      <c r="T16" s="41">
        <v>36.387523751416374</v>
      </c>
      <c r="U16" s="42">
        <f t="shared" si="0"/>
        <v>0.1228437594411663</v>
      </c>
      <c r="V16" s="41">
        <v>34.374176453519446</v>
      </c>
      <c r="W16" s="42">
        <f t="shared" si="1"/>
        <v>0.12519158951168388</v>
      </c>
      <c r="X16" s="108">
        <v>26.682882230973686</v>
      </c>
      <c r="Y16" s="45">
        <f t="shared" si="2"/>
        <v>0.09220359304507057</v>
      </c>
      <c r="Z16" s="62">
        <v>30.91055911081172</v>
      </c>
      <c r="AA16" s="45">
        <v>0.0774081702606004</v>
      </c>
      <c r="AB16" s="62">
        <f>16863700/557.4/1000</f>
        <v>30.25421600287047</v>
      </c>
      <c r="AC16" s="94">
        <f t="shared" si="4"/>
        <v>0.05677828087882261</v>
      </c>
      <c r="AD16" s="62">
        <f>15764518/512.5/1000</f>
        <v>30.76003512195122</v>
      </c>
      <c r="AE16" s="107">
        <f t="shared" si="5"/>
        <v>0.052064891503538255</v>
      </c>
      <c r="AF16" s="62">
        <f>17022999/532.39/1000</f>
        <v>31.97467833730912</v>
      </c>
      <c r="AG16" s="107">
        <f t="shared" si="3"/>
        <v>0.045603044375089316</v>
      </c>
      <c r="AH16" s="62">
        <f>24448708/496.89/1000</f>
        <v>49.203461530721086</v>
      </c>
      <c r="AI16" s="107">
        <f t="shared" si="6"/>
        <v>0.05292974898782633</v>
      </c>
      <c r="AJ16" s="62">
        <f>27462722/636.45/1000</f>
        <v>43.149849948935504</v>
      </c>
      <c r="AK16" s="107">
        <f t="shared" si="7"/>
        <v>0.048990592260762765</v>
      </c>
      <c r="AL16" s="62">
        <f>26790914/507.1/1000</f>
        <v>52.83161901005718</v>
      </c>
      <c r="AM16" s="107">
        <f t="shared" si="8"/>
        <v>0.04395744321727238</v>
      </c>
      <c r="AN16" s="62">
        <v>60.635614623619155</v>
      </c>
      <c r="AO16" s="107">
        <f t="shared" si="9"/>
        <v>0.038428385193401686</v>
      </c>
      <c r="AP16" s="62">
        <v>61.20746340523882</v>
      </c>
      <c r="AQ16" s="107">
        <f t="shared" si="10"/>
        <v>0.0385438917804068</v>
      </c>
      <c r="AR16" s="62">
        <v>75.17787315609635</v>
      </c>
      <c r="AS16" s="107">
        <f t="shared" si="11"/>
        <v>0.03767652417409495</v>
      </c>
      <c r="AT16" s="62">
        <v>72.473385943844</v>
      </c>
      <c r="AU16" s="107">
        <f t="shared" si="12"/>
        <v>0.036706198811637405</v>
      </c>
      <c r="AV16" s="62">
        <v>67.567615986815</v>
      </c>
      <c r="AW16" s="107">
        <f t="shared" si="13"/>
        <v>0.037818547989999333</v>
      </c>
      <c r="AX16" s="62">
        <v>67.04730905711389</v>
      </c>
      <c r="AY16" s="107">
        <f t="shared" si="14"/>
        <v>0.040912225014124115</v>
      </c>
      <c r="AZ16" s="62">
        <v>95.39858246075252</v>
      </c>
      <c r="BA16" s="107">
        <f t="shared" si="15"/>
        <v>0.04848049369789605</v>
      </c>
      <c r="BB16" s="62">
        <v>101.78254412362749</v>
      </c>
      <c r="BC16" s="107">
        <f t="shared" si="19"/>
        <v>0.04762615409764213</v>
      </c>
      <c r="BD16" s="62">
        <v>61.32191084819437</v>
      </c>
      <c r="BE16" s="107">
        <f t="shared" si="16"/>
        <v>0.02793658296553863</v>
      </c>
      <c r="BF16" s="62">
        <v>60.32128108555707</v>
      </c>
      <c r="BG16" s="107">
        <f t="shared" si="17"/>
        <v>0.026883969670888377</v>
      </c>
      <c r="BH16" s="62">
        <v>67.97647654546734</v>
      </c>
      <c r="BI16" s="107">
        <f t="shared" si="18"/>
        <v>0.025073012990010232</v>
      </c>
    </row>
    <row r="17" spans="1:61" ht="12.75" customHeight="1">
      <c r="A17" s="40" t="s">
        <v>13</v>
      </c>
      <c r="B17" s="96" t="s">
        <v>0</v>
      </c>
      <c r="C17" s="96" t="s">
        <v>0</v>
      </c>
      <c r="D17" s="49" t="s">
        <v>0</v>
      </c>
      <c r="E17" s="49" t="s">
        <v>0</v>
      </c>
      <c r="F17" s="49" t="s">
        <v>0</v>
      </c>
      <c r="G17" s="49" t="s">
        <v>0</v>
      </c>
      <c r="H17" s="49" t="s">
        <v>0</v>
      </c>
      <c r="I17" s="49" t="s">
        <v>0</v>
      </c>
      <c r="J17" s="49" t="s">
        <v>0</v>
      </c>
      <c r="K17" s="49" t="s">
        <v>0</v>
      </c>
      <c r="L17" s="49" t="s">
        <v>0</v>
      </c>
      <c r="M17" s="47" t="s">
        <v>0</v>
      </c>
      <c r="N17" s="49" t="s">
        <v>0</v>
      </c>
      <c r="O17" s="49" t="s">
        <v>0</v>
      </c>
      <c r="P17" s="49" t="s">
        <v>0</v>
      </c>
      <c r="Q17" s="49" t="s">
        <v>0</v>
      </c>
      <c r="R17" s="49" t="s">
        <v>0</v>
      </c>
      <c r="S17" s="47" t="s">
        <v>0</v>
      </c>
      <c r="T17" s="49" t="s">
        <v>0</v>
      </c>
      <c r="U17" s="47" t="s">
        <v>0</v>
      </c>
      <c r="V17" s="49" t="s">
        <v>0</v>
      </c>
      <c r="W17" s="47" t="s">
        <v>0</v>
      </c>
      <c r="X17" s="108">
        <v>0</v>
      </c>
      <c r="Y17" s="45">
        <f>X17/X$21</f>
        <v>0</v>
      </c>
      <c r="Z17" s="62">
        <v>0</v>
      </c>
      <c r="AA17" s="45">
        <v>0</v>
      </c>
      <c r="AB17" s="62">
        <v>0</v>
      </c>
      <c r="AC17" s="94">
        <f t="shared" si="4"/>
        <v>0</v>
      </c>
      <c r="AD17" s="62">
        <v>0</v>
      </c>
      <c r="AE17" s="107">
        <f t="shared" si="5"/>
        <v>0</v>
      </c>
      <c r="AF17" s="62">
        <f>0</f>
        <v>0</v>
      </c>
      <c r="AG17" s="107">
        <f t="shared" si="3"/>
        <v>0</v>
      </c>
      <c r="AH17" s="62">
        <f>0/522.47/1000</f>
        <v>0</v>
      </c>
      <c r="AI17" s="107">
        <f t="shared" si="6"/>
        <v>0</v>
      </c>
      <c r="AJ17" s="62">
        <v>0</v>
      </c>
      <c r="AK17" s="107">
        <f t="shared" si="7"/>
        <v>0</v>
      </c>
      <c r="AL17" s="62">
        <f>3006781/507.1/1000</f>
        <v>5.92936501676198</v>
      </c>
      <c r="AM17" s="107">
        <f t="shared" si="8"/>
        <v>0.004933404103879154</v>
      </c>
      <c r="AN17" s="62">
        <v>6.18953013824491</v>
      </c>
      <c r="AO17" s="107">
        <f t="shared" si="9"/>
        <v>0.003922672340258493</v>
      </c>
      <c r="AP17" s="62">
        <v>5.185614406779661</v>
      </c>
      <c r="AQ17" s="107">
        <f t="shared" si="10"/>
        <v>0.0032655128866641812</v>
      </c>
      <c r="AR17" s="62">
        <v>5.16058213184432</v>
      </c>
      <c r="AS17" s="107">
        <f t="shared" si="11"/>
        <v>0.002586303512991415</v>
      </c>
      <c r="AT17" s="62">
        <v>4.192487752806847</v>
      </c>
      <c r="AU17" s="107">
        <f t="shared" si="12"/>
        <v>0.002123404156791087</v>
      </c>
      <c r="AV17" s="62">
        <v>3.625544293366296</v>
      </c>
      <c r="AW17" s="107">
        <f t="shared" si="13"/>
        <v>0.002029268294374888</v>
      </c>
      <c r="AX17" s="62">
        <v>2.925604089219331</v>
      </c>
      <c r="AY17" s="107">
        <f t="shared" si="14"/>
        <v>0.001785201740138789</v>
      </c>
      <c r="AZ17" s="62">
        <v>3.030648124635906</v>
      </c>
      <c r="BA17" s="107">
        <f t="shared" si="15"/>
        <v>0.0015401415148636845</v>
      </c>
      <c r="BB17" s="62">
        <v>7.689891825945507</v>
      </c>
      <c r="BC17" s="107">
        <f t="shared" si="19"/>
        <v>0.0035982591735163895</v>
      </c>
      <c r="BD17" s="62">
        <v>9.605348532607913</v>
      </c>
      <c r="BE17" s="107">
        <f t="shared" si="16"/>
        <v>0.004375933699430976</v>
      </c>
      <c r="BF17" s="62">
        <v>13.562257926650105</v>
      </c>
      <c r="BG17" s="107">
        <f t="shared" si="17"/>
        <v>0.00604442286714176</v>
      </c>
      <c r="BH17" s="62">
        <v>19.01020606231099</v>
      </c>
      <c r="BI17" s="107">
        <f t="shared" si="18"/>
        <v>0.007011883636308849</v>
      </c>
    </row>
    <row r="18" spans="1:61" ht="12.75" customHeight="1">
      <c r="A18" s="40" t="s">
        <v>14</v>
      </c>
      <c r="B18" s="96" t="s">
        <v>0</v>
      </c>
      <c r="C18" s="96" t="s">
        <v>0</v>
      </c>
      <c r="D18" s="47" t="s">
        <v>0</v>
      </c>
      <c r="E18" s="49" t="s">
        <v>0</v>
      </c>
      <c r="F18" s="47" t="s">
        <v>0</v>
      </c>
      <c r="G18" s="49" t="s">
        <v>0</v>
      </c>
      <c r="H18" s="47" t="s">
        <v>0</v>
      </c>
      <c r="I18" s="49" t="s">
        <v>0</v>
      </c>
      <c r="J18" s="47" t="s">
        <v>0</v>
      </c>
      <c r="K18" s="49" t="s">
        <v>0</v>
      </c>
      <c r="L18" s="47" t="s">
        <v>0</v>
      </c>
      <c r="M18" s="49" t="s">
        <v>0</v>
      </c>
      <c r="N18" s="50">
        <v>11.842192267407441</v>
      </c>
      <c r="O18" s="42">
        <v>0.1301268753701611</v>
      </c>
      <c r="P18" s="50">
        <v>3.3416185093456954</v>
      </c>
      <c r="Q18" s="49">
        <v>0.007646681755610247</v>
      </c>
      <c r="R18" s="41">
        <v>1.744220574641085</v>
      </c>
      <c r="S18" s="42">
        <v>0.004954575311635762</v>
      </c>
      <c r="T18" s="50">
        <v>1.2578070251895757</v>
      </c>
      <c r="U18" s="42">
        <f>T18/$T$21</f>
        <v>0.004246338516502729</v>
      </c>
      <c r="V18" s="41">
        <v>1.1415705798805724</v>
      </c>
      <c r="W18" s="42">
        <f>V18/$V$21</f>
        <v>0.004157627910832203</v>
      </c>
      <c r="X18" s="108">
        <v>1.0571311281501787</v>
      </c>
      <c r="Y18" s="45">
        <f>X18/X$21</f>
        <v>0.003652952012136457</v>
      </c>
      <c r="Z18" s="62">
        <v>1.3363236780060626</v>
      </c>
      <c r="AA18" s="45">
        <v>0.003346505976146629</v>
      </c>
      <c r="AB18" s="62">
        <f>879843/557.4/1000</f>
        <v>1.5784768568353067</v>
      </c>
      <c r="AC18" s="94">
        <f t="shared" si="4"/>
        <v>0.002962337623609642</v>
      </c>
      <c r="AD18" s="62">
        <f>1030450/512.5/1000</f>
        <v>2.0106341463414634</v>
      </c>
      <c r="AE18" s="107">
        <f t="shared" si="5"/>
        <v>0.003403229166272067</v>
      </c>
      <c r="AF18" s="62">
        <f>1070806/532.39/1000</f>
        <v>2.0113187700745696</v>
      </c>
      <c r="AG18" s="107">
        <f t="shared" si="3"/>
        <v>0.002868590518927475</v>
      </c>
      <c r="AH18" s="62">
        <f>1013794/496.89/1000</f>
        <v>2.0402785324719757</v>
      </c>
      <c r="AI18" s="107">
        <f t="shared" si="6"/>
        <v>0.0021947933586251023</v>
      </c>
      <c r="AJ18" s="62">
        <f>1499702/636.45/1000</f>
        <v>2.356354780422657</v>
      </c>
      <c r="AK18" s="107">
        <f t="shared" si="7"/>
        <v>0.0026753097961174583</v>
      </c>
      <c r="AL18" s="62">
        <f>1713052/507.1/1000</f>
        <v>3.3781344902386117</v>
      </c>
      <c r="AM18" s="107">
        <f t="shared" si="8"/>
        <v>0.0028107061229129733</v>
      </c>
      <c r="AN18" s="62">
        <v>4.57974188585714</v>
      </c>
      <c r="AO18" s="107">
        <f t="shared" si="9"/>
        <v>0.0029024540506186365</v>
      </c>
      <c r="AP18" s="62">
        <v>8.162409476117103</v>
      </c>
      <c r="AQ18" s="107">
        <f t="shared" si="10"/>
        <v>0.005140076226192649</v>
      </c>
      <c r="AR18" s="62">
        <v>9.25864655387949</v>
      </c>
      <c r="AS18" s="107">
        <f t="shared" si="11"/>
        <v>0.00464011026199607</v>
      </c>
      <c r="AT18" s="62">
        <v>7.742237090410019</v>
      </c>
      <c r="AU18" s="107">
        <f t="shared" si="12"/>
        <v>0.003921275240370671</v>
      </c>
      <c r="AV18" s="62">
        <v>6.174974866089823</v>
      </c>
      <c r="AW18" s="107">
        <f t="shared" si="13"/>
        <v>0.003456220556247359</v>
      </c>
      <c r="AX18" s="62">
        <v>7.771086797341444</v>
      </c>
      <c r="AY18" s="107">
        <f t="shared" si="14"/>
        <v>0.004741912183027259</v>
      </c>
      <c r="AZ18" s="62">
        <v>3.873723990619445</v>
      </c>
      <c r="BA18" s="107">
        <f t="shared" si="15"/>
        <v>0.0019685832500905</v>
      </c>
      <c r="BB18" s="62">
        <v>2.1958438389589263</v>
      </c>
      <c r="BC18" s="107">
        <f t="shared" si="19"/>
        <v>0.001027480674108431</v>
      </c>
      <c r="BD18" s="62">
        <v>3.821581242713416</v>
      </c>
      <c r="BE18" s="107">
        <f t="shared" si="16"/>
        <v>0.0017410077404617144</v>
      </c>
      <c r="BF18" s="62">
        <v>22.797677431418116</v>
      </c>
      <c r="BG18" s="107">
        <f t="shared" si="17"/>
        <v>0.010160461740917632</v>
      </c>
      <c r="BH18" s="62">
        <v>36.54525072086645</v>
      </c>
      <c r="BI18" s="107">
        <f t="shared" si="18"/>
        <v>0.013479656384287308</v>
      </c>
    </row>
    <row r="19" spans="1:61" ht="12.75" customHeight="1">
      <c r="A19" s="19" t="s">
        <v>18</v>
      </c>
      <c r="B19" s="103" t="s">
        <v>0</v>
      </c>
      <c r="C19" s="103" t="s">
        <v>0</v>
      </c>
      <c r="D19" s="47" t="s">
        <v>0</v>
      </c>
      <c r="E19" s="49" t="s">
        <v>0</v>
      </c>
      <c r="F19" s="47" t="s">
        <v>0</v>
      </c>
      <c r="G19" s="49" t="s">
        <v>0</v>
      </c>
      <c r="H19" s="51">
        <v>2.766720440782289</v>
      </c>
      <c r="I19" s="52">
        <v>0.0065859962615625375</v>
      </c>
      <c r="J19" s="53">
        <v>2.6904696370204713</v>
      </c>
      <c r="K19" s="54">
        <v>0.005867386336020706</v>
      </c>
      <c r="L19" s="47" t="s">
        <v>0</v>
      </c>
      <c r="M19" s="47" t="s">
        <v>0</v>
      </c>
      <c r="N19" s="55">
        <v>1.2854068946673347</v>
      </c>
      <c r="O19" s="54">
        <v>0.002755138582970477</v>
      </c>
      <c r="P19" s="55">
        <v>1.3494231705510045</v>
      </c>
      <c r="Q19" s="54">
        <v>0.0030879077040037502</v>
      </c>
      <c r="R19" s="55">
        <v>3.458577169053144</v>
      </c>
      <c r="S19" s="54">
        <v>0.009824319988143648</v>
      </c>
      <c r="T19" s="43">
        <v>1.022463174409483</v>
      </c>
      <c r="U19" s="42">
        <f>T19/$T$21</f>
        <v>0.0034518210442863874</v>
      </c>
      <c r="V19" s="43">
        <v>1.7518945005268867</v>
      </c>
      <c r="W19" s="42">
        <f>V19/$V$21</f>
        <v>0.00638044252418105</v>
      </c>
      <c r="X19" s="109">
        <v>4.878585046130724</v>
      </c>
      <c r="Y19" s="56">
        <f>X19/X$21</f>
        <v>0.016858113989913964</v>
      </c>
      <c r="Z19" s="91">
        <v>3.0027702930279556</v>
      </c>
      <c r="AA19" s="56">
        <v>0.007519726617137759</v>
      </c>
      <c r="AB19" s="91">
        <f>1975178/557.4/1000</f>
        <v>3.5435557947613923</v>
      </c>
      <c r="AC19" s="95">
        <f t="shared" si="4"/>
        <v>0.0066502138480684005</v>
      </c>
      <c r="AD19" s="62">
        <f>3154719/512.5/1000</f>
        <v>6.155549268292683</v>
      </c>
      <c r="AE19" s="107">
        <f t="shared" si="5"/>
        <v>0.01041897395525513</v>
      </c>
      <c r="AF19" s="62">
        <f>4655551/532.39/1000</f>
        <v>8.74462518078852</v>
      </c>
      <c r="AG19" s="107">
        <f t="shared" si="3"/>
        <v>0.012471791770856087</v>
      </c>
      <c r="AH19" s="62">
        <f>9942725/496.89/1000</f>
        <v>20.0099116504659</v>
      </c>
      <c r="AI19" s="107">
        <f t="shared" si="6"/>
        <v>0.021525306715798054</v>
      </c>
      <c r="AJ19" s="62">
        <f>4155285/636.45/1000</f>
        <v>6.528847513551732</v>
      </c>
      <c r="AK19" s="107">
        <f t="shared" si="7"/>
        <v>0.00741258907847021</v>
      </c>
      <c r="AL19" s="62">
        <f>8798382/507.1/1000</f>
        <v>17.350388483533816</v>
      </c>
      <c r="AM19" s="107">
        <f t="shared" si="8"/>
        <v>0.014436027720773967</v>
      </c>
      <c r="AN19" s="62">
        <v>25.784181961923892</v>
      </c>
      <c r="AO19" s="107">
        <f t="shared" si="9"/>
        <v>0.01634096533002918</v>
      </c>
      <c r="AP19" s="62">
        <v>18.0151906779661</v>
      </c>
      <c r="AQ19" s="107">
        <f>AP19/$AP$21</f>
        <v>0.011344622391841946</v>
      </c>
      <c r="AR19" s="62">
        <v>15.19171805983832</v>
      </c>
      <c r="AS19" s="107">
        <f t="shared" si="11"/>
        <v>0.007613558467384208</v>
      </c>
      <c r="AT19" s="62">
        <v>39.140182230609405</v>
      </c>
      <c r="AU19" s="107">
        <f>AT19/$AT$21</f>
        <v>0.019823653769863652</v>
      </c>
      <c r="AV19" s="62">
        <v>41.04311330861146</v>
      </c>
      <c r="AW19" s="107">
        <f>AV19/$AV$21</f>
        <v>0.02297240960260599</v>
      </c>
      <c r="AX19" s="62">
        <v>36.42568857722203</v>
      </c>
      <c r="AY19" s="107">
        <f t="shared" si="14"/>
        <v>0.022226931823561356</v>
      </c>
      <c r="AZ19" s="62">
        <v>23.55549613873661</v>
      </c>
      <c r="BA19" s="107">
        <f t="shared" si="15"/>
        <v>0.011970639947136033</v>
      </c>
      <c r="BB19" s="62">
        <v>28.94817730784872</v>
      </c>
      <c r="BC19" s="107">
        <f t="shared" si="19"/>
        <v>0.013545449911675231</v>
      </c>
      <c r="BD19" s="62">
        <v>41.14962505577385</v>
      </c>
      <c r="BE19" s="107">
        <f t="shared" si="16"/>
        <v>0.018746642080630514</v>
      </c>
      <c r="BF19" s="62">
        <v>40.92715361807837</v>
      </c>
      <c r="BG19" s="107">
        <f t="shared" si="17"/>
        <v>0.018240401012432298</v>
      </c>
      <c r="BH19" s="62">
        <v>60.89548913425698</v>
      </c>
      <c r="BI19" s="107">
        <f t="shared" si="18"/>
        <v>0.02246120228186586</v>
      </c>
    </row>
    <row r="20" spans="1:61" ht="10.5" customHeight="1">
      <c r="A20" s="57"/>
      <c r="B20" s="57"/>
      <c r="C20" s="57"/>
      <c r="D20" s="58"/>
      <c r="E20" s="58"/>
      <c r="F20" s="58"/>
      <c r="G20" s="58"/>
      <c r="H20" s="59"/>
      <c r="I20" s="59"/>
      <c r="J20" s="59"/>
      <c r="K20" s="59"/>
      <c r="L20" s="58"/>
      <c r="M20" s="58"/>
      <c r="N20" s="59"/>
      <c r="O20" s="60"/>
      <c r="P20" s="59"/>
      <c r="Q20" s="60"/>
      <c r="R20" s="59"/>
      <c r="S20" s="60"/>
      <c r="T20" s="58"/>
      <c r="U20" s="61"/>
      <c r="V20" s="58"/>
      <c r="W20" s="61"/>
      <c r="X20" s="62"/>
      <c r="Y20" s="63"/>
      <c r="Z20" s="62"/>
      <c r="AA20" s="45"/>
      <c r="AB20" s="62"/>
      <c r="AC20" s="7"/>
      <c r="AD20" s="111"/>
      <c r="AE20" s="106"/>
      <c r="AF20" s="110"/>
      <c r="AG20" s="106"/>
      <c r="AH20" s="110"/>
      <c r="AI20" s="106"/>
      <c r="AJ20" s="110"/>
      <c r="AK20" s="106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</row>
    <row r="21" spans="1:61" ht="12.75" customHeight="1">
      <c r="A21" s="64" t="s">
        <v>15</v>
      </c>
      <c r="B21" s="47">
        <v>202</v>
      </c>
      <c r="C21" s="64"/>
      <c r="D21" s="65">
        <v>242.79506699466137</v>
      </c>
      <c r="E21" s="66"/>
      <c r="F21" s="65">
        <v>292.71905150885704</v>
      </c>
      <c r="G21" s="66"/>
      <c r="H21" s="65">
        <v>420.0914077236176</v>
      </c>
      <c r="I21" s="66"/>
      <c r="J21" s="65">
        <v>458.54652871642384</v>
      </c>
      <c r="K21" s="66"/>
      <c r="L21" s="67">
        <v>466.7566349462435</v>
      </c>
      <c r="M21" s="66"/>
      <c r="N21" s="59">
        <v>466.54890705405535</v>
      </c>
      <c r="O21" s="68"/>
      <c r="P21" s="114">
        <v>437.00243009250437</v>
      </c>
      <c r="Q21" s="114"/>
      <c r="R21" s="114">
        <v>352.04239817382603</v>
      </c>
      <c r="S21" s="114"/>
      <c r="T21" s="115">
        <f>SUM(T8:T19)</f>
        <v>296.2097864551556</v>
      </c>
      <c r="U21" s="115"/>
      <c r="V21" s="115">
        <f>SUM(V8:V19)</f>
        <v>274.57256983154906</v>
      </c>
      <c r="W21" s="115"/>
      <c r="X21" s="44">
        <v>289.3909157957724</v>
      </c>
      <c r="Y21" s="63"/>
      <c r="Z21" s="62">
        <f>SUM(Z8:Z20)</f>
        <v>399.3190771303469</v>
      </c>
      <c r="AA21" s="45"/>
      <c r="AB21" s="92">
        <f>SUM(AB8:AB20)</f>
        <v>532.8483979189093</v>
      </c>
      <c r="AC21" s="69"/>
      <c r="AD21" s="92">
        <f>SUM(AD8:AD20)</f>
        <v>590.8018673170732</v>
      </c>
      <c r="AE21" s="105"/>
      <c r="AF21" s="92">
        <f>SUM(AF8:AF19)</f>
        <v>701.1522755874453</v>
      </c>
      <c r="AG21" s="105"/>
      <c r="AH21" s="92">
        <f>SUM(AH8:AH20)</f>
        <v>929.5993741069453</v>
      </c>
      <c r="AI21" s="105"/>
      <c r="AJ21" s="92">
        <f>SUM(AJ8:AJ20)</f>
        <v>880.7782873752847</v>
      </c>
      <c r="AK21" s="105"/>
      <c r="AL21" s="92">
        <f>SUM(AL8:AL19)</f>
        <v>1201.8810727667126</v>
      </c>
      <c r="AM21" s="69"/>
      <c r="AN21" s="92">
        <f>SUM(AN8:AN19)</f>
        <v>1577.8860943142242</v>
      </c>
      <c r="AO21" s="69"/>
      <c r="AP21" s="92">
        <f>SUM(AP8:AP19)</f>
        <v>1587.993857858243</v>
      </c>
      <c r="AQ21" s="69"/>
      <c r="AR21" s="92">
        <f>SUM(AR8:AR19)</f>
        <v>1995.3505479623304</v>
      </c>
      <c r="AS21" s="69"/>
      <c r="AT21" s="92">
        <f>SUM(AT8:AT19)</f>
        <v>1974.4181715941365</v>
      </c>
      <c r="AU21" s="69"/>
      <c r="AV21" s="92">
        <f>SUM(AV8:AV19)</f>
        <v>1786.6263930778741</v>
      </c>
      <c r="AW21" s="69"/>
      <c r="AX21" s="92">
        <f>SUM(AX8:AX19)</f>
        <v>1638.8086698772108</v>
      </c>
      <c r="AY21" s="69"/>
      <c r="AZ21" s="92">
        <f>SUM(AZ8:AZ19)</f>
        <v>1967.7725036222685</v>
      </c>
      <c r="BA21" s="69"/>
      <c r="BB21" s="92">
        <f>SUM(BB8:BB19)</f>
        <v>2137.114492069947</v>
      </c>
      <c r="BC21" s="69"/>
      <c r="BD21" s="92">
        <f>SUM(BD8:BD19)</f>
        <v>2195.039777192452</v>
      </c>
      <c r="BE21" s="69"/>
      <c r="BF21" s="92">
        <f>SUM(BF8:BF19)</f>
        <v>2243.7639167134116</v>
      </c>
      <c r="BG21" s="69"/>
      <c r="BH21" s="92">
        <f>SUM(BH8:BH19)</f>
        <v>2711.1411210352344</v>
      </c>
      <c r="BI21" s="69"/>
    </row>
    <row r="22" spans="1:61" ht="7.5" customHeight="1">
      <c r="A22" s="37"/>
      <c r="B22" s="20"/>
      <c r="C22" s="21"/>
      <c r="D22" s="20"/>
      <c r="E22" s="21"/>
      <c r="F22" s="20"/>
      <c r="G22" s="21"/>
      <c r="H22" s="20"/>
      <c r="I22" s="21"/>
      <c r="J22" s="20"/>
      <c r="K22" s="21"/>
      <c r="L22" s="20"/>
      <c r="M22" s="21"/>
      <c r="N22" s="20"/>
      <c r="O22" s="21"/>
      <c r="P22" s="20"/>
      <c r="Q22" s="21"/>
      <c r="R22" s="20"/>
      <c r="S22" s="21"/>
      <c r="T22" s="20"/>
      <c r="U22" s="21"/>
      <c r="V22" s="69"/>
      <c r="W22" s="70"/>
      <c r="X22" s="69"/>
      <c r="Y22" s="69"/>
      <c r="Z22" s="69"/>
      <c r="AA22" s="69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</row>
    <row r="23" spans="1:68" ht="12.75">
      <c r="A23" s="24"/>
      <c r="B23" s="90" t="s">
        <v>20</v>
      </c>
      <c r="C23" s="90"/>
      <c r="D23" s="90"/>
      <c r="E23" s="90"/>
      <c r="F23" s="90"/>
      <c r="G23" s="90"/>
      <c r="H23" s="71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1"/>
      <c r="X23" s="71"/>
      <c r="Y23" s="73"/>
      <c r="Z23" s="71"/>
      <c r="AA23" s="71"/>
      <c r="AB23" s="20"/>
      <c r="AC23" s="20"/>
      <c r="AD23" s="20"/>
      <c r="AE23" s="20"/>
      <c r="AF23" s="20"/>
      <c r="AG23" s="20"/>
      <c r="AH23" s="20"/>
      <c r="AI23" s="21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</row>
    <row r="24" spans="1:68" ht="12.75">
      <c r="A24" s="24"/>
      <c r="B24" s="20"/>
      <c r="C24" s="21"/>
      <c r="D24" s="20"/>
      <c r="E24" s="21"/>
      <c r="F24" s="20"/>
      <c r="G24" s="21"/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0"/>
      <c r="X24" s="20"/>
      <c r="Y24" s="22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</row>
    <row r="25" spans="1:36" ht="12">
      <c r="A25" s="40"/>
      <c r="B25" s="74"/>
      <c r="C25" s="40"/>
      <c r="D25" s="74"/>
      <c r="E25" s="40"/>
      <c r="F25" s="74"/>
      <c r="G25" s="40"/>
      <c r="H25" s="74"/>
      <c r="I25" s="40"/>
      <c r="J25" s="74"/>
      <c r="K25" s="40"/>
      <c r="L25" s="74"/>
      <c r="M25" s="40"/>
      <c r="N25" s="74"/>
      <c r="O25" s="40"/>
      <c r="P25" s="75"/>
      <c r="Q25" s="40"/>
      <c r="R25" s="74"/>
      <c r="S25" s="40"/>
      <c r="T25" s="74"/>
      <c r="U25" s="40"/>
      <c r="V25" s="74"/>
      <c r="W25" s="74"/>
      <c r="X25" s="74"/>
      <c r="Y25" s="76"/>
      <c r="Z25" s="74"/>
      <c r="AA25" s="92"/>
      <c r="AB25" s="74"/>
      <c r="AC25" s="74"/>
      <c r="AD25" s="74"/>
      <c r="AE25" s="74"/>
      <c r="AF25" s="74"/>
      <c r="AG25" s="74"/>
      <c r="AH25" s="74"/>
      <c r="AI25" s="12"/>
      <c r="AJ25" s="12"/>
    </row>
    <row r="26" spans="1:39" ht="12.75">
      <c r="A26" s="40"/>
      <c r="B26" s="74"/>
      <c r="C26" s="40"/>
      <c r="D26" s="74"/>
      <c r="E26" s="40"/>
      <c r="F26" s="74"/>
      <c r="G26" s="40"/>
      <c r="H26" s="74"/>
      <c r="I26" s="40"/>
      <c r="J26" s="74"/>
      <c r="K26" s="40"/>
      <c r="L26" s="74"/>
      <c r="M26" s="40"/>
      <c r="N26" s="74"/>
      <c r="O26" s="40"/>
      <c r="P26" s="75"/>
      <c r="Q26" s="40"/>
      <c r="R26" s="74"/>
      <c r="S26" s="40"/>
      <c r="T26" s="74"/>
      <c r="U26" s="40"/>
      <c r="V26" s="74"/>
      <c r="W26" s="74"/>
      <c r="X26" s="74"/>
      <c r="Y26" s="76"/>
      <c r="Z26" s="74"/>
      <c r="AA26" s="74"/>
      <c r="AB26" s="74"/>
      <c r="AC26" s="74"/>
      <c r="AD26" s="74"/>
      <c r="AE26" s="74"/>
      <c r="AF26" s="74"/>
      <c r="AG26" s="74"/>
      <c r="AH26" s="74"/>
      <c r="AI26" s="77"/>
      <c r="AJ26" s="78"/>
      <c r="AM26" s="112"/>
    </row>
    <row r="27" spans="1:39" ht="13.5">
      <c r="A27" s="79"/>
      <c r="AI27" s="83"/>
      <c r="AJ27" s="78"/>
      <c r="AM27" s="112"/>
    </row>
    <row r="28" spans="1:39" ht="13.5">
      <c r="A28" s="79"/>
      <c r="AI28" s="83"/>
      <c r="AJ28" s="78"/>
      <c r="AM28" s="112"/>
    </row>
    <row r="29" spans="1:39" ht="13.5">
      <c r="A29" s="79"/>
      <c r="AI29" s="83"/>
      <c r="AJ29" s="78"/>
      <c r="AM29" s="113"/>
    </row>
    <row r="30" spans="1:39" ht="13.5">
      <c r="A30" s="79"/>
      <c r="AI30" s="83"/>
      <c r="AJ30" s="78"/>
      <c r="AM30" s="113"/>
    </row>
    <row r="31" spans="35:39" ht="12.75">
      <c r="AI31" s="83"/>
      <c r="AJ31" s="78"/>
      <c r="AM31" s="113"/>
    </row>
    <row r="32" spans="35:36" ht="12.75">
      <c r="AI32" s="83"/>
      <c r="AJ32" s="78"/>
    </row>
    <row r="33" spans="35:36" ht="12.75">
      <c r="AI33" s="83"/>
      <c r="AJ33" s="78"/>
    </row>
    <row r="34" spans="35:36" ht="12.75">
      <c r="AI34" s="83"/>
      <c r="AJ34" s="78"/>
    </row>
    <row r="35" spans="35:36" ht="12.75">
      <c r="AI35" s="83"/>
      <c r="AJ35" s="78"/>
    </row>
    <row r="36" spans="35:36" ht="12.75">
      <c r="AI36" s="83"/>
      <c r="AJ36" s="78"/>
    </row>
    <row r="37" spans="35:36" ht="12.75">
      <c r="AI37" s="83"/>
      <c r="AJ37" s="78"/>
    </row>
    <row r="38" spans="35:36" ht="12.75">
      <c r="AI38" s="83"/>
      <c r="AJ38" s="78"/>
    </row>
    <row r="39" spans="35:36" ht="12.75">
      <c r="AI39" s="83"/>
      <c r="AJ39" s="78"/>
    </row>
    <row r="40" spans="35:36" ht="12.75">
      <c r="AI40" s="83"/>
      <c r="AJ40" s="78"/>
    </row>
    <row r="41" spans="35:36" ht="12.75">
      <c r="AI41" s="83"/>
      <c r="AJ41" s="78"/>
    </row>
    <row r="42" spans="35:36" ht="12.75">
      <c r="AI42" s="83"/>
      <c r="AJ42" s="78"/>
    </row>
    <row r="43" spans="1:36" ht="12.75">
      <c r="A43" s="21"/>
      <c r="B43" s="20"/>
      <c r="C43" s="21"/>
      <c r="D43" s="20"/>
      <c r="E43" s="21"/>
      <c r="F43" s="20"/>
      <c r="G43" s="21"/>
      <c r="H43" s="20"/>
      <c r="I43" s="21"/>
      <c r="J43" s="20"/>
      <c r="K43" s="21"/>
      <c r="L43" s="20"/>
      <c r="M43" s="21"/>
      <c r="N43" s="20"/>
      <c r="O43" s="21"/>
      <c r="P43" s="20"/>
      <c r="Q43" s="21"/>
      <c r="R43" s="20"/>
      <c r="S43" s="21"/>
      <c r="T43" s="20"/>
      <c r="U43" s="21"/>
      <c r="V43" s="20"/>
      <c r="W43" s="20"/>
      <c r="X43" s="20"/>
      <c r="Y43" s="22"/>
      <c r="Z43" s="20"/>
      <c r="AA43" s="20"/>
      <c r="AB43" s="20"/>
      <c r="AC43" s="20"/>
      <c r="AD43" s="20"/>
      <c r="AE43" s="20"/>
      <c r="AF43" s="20"/>
      <c r="AG43" s="20"/>
      <c r="AH43" s="20"/>
      <c r="AI43" s="84"/>
      <c r="AJ43" s="78"/>
    </row>
    <row r="44" spans="1:36" ht="12.75">
      <c r="A44" s="21"/>
      <c r="B44" s="20"/>
      <c r="C44" s="21"/>
      <c r="D44" s="20"/>
      <c r="E44" s="21"/>
      <c r="F44" s="20"/>
      <c r="G44" s="21"/>
      <c r="H44" s="20"/>
      <c r="I44" s="21"/>
      <c r="J44" s="20"/>
      <c r="K44" s="21"/>
      <c r="L44" s="20"/>
      <c r="M44" s="21"/>
      <c r="N44" s="20"/>
      <c r="O44" s="21"/>
      <c r="P44" s="20"/>
      <c r="Q44" s="21"/>
      <c r="R44" s="20"/>
      <c r="S44" s="21"/>
      <c r="T44" s="20"/>
      <c r="U44" s="21"/>
      <c r="V44" s="20"/>
      <c r="W44" s="20"/>
      <c r="X44" s="20"/>
      <c r="Y44" s="22"/>
      <c r="Z44" s="20"/>
      <c r="AA44" s="20"/>
      <c r="AB44" s="20"/>
      <c r="AC44" s="20"/>
      <c r="AD44" s="20"/>
      <c r="AE44" s="20"/>
      <c r="AF44" s="20"/>
      <c r="AG44" s="20"/>
      <c r="AH44" s="20"/>
      <c r="AI44" s="84"/>
      <c r="AJ44" s="78"/>
    </row>
    <row r="45" spans="35:36" ht="12.75">
      <c r="AI45" s="83"/>
      <c r="AJ45" s="78"/>
    </row>
    <row r="46" spans="35:44" ht="12.75">
      <c r="AI46" s="83"/>
      <c r="AJ46" s="78"/>
      <c r="AK46" s="13"/>
      <c r="AL46" s="13"/>
      <c r="AM46" s="13"/>
      <c r="AN46" s="13"/>
      <c r="AO46" s="13"/>
      <c r="AP46" s="13"/>
      <c r="AQ46" s="13"/>
      <c r="AR46" s="13"/>
    </row>
    <row r="47" spans="35:36" ht="12.75">
      <c r="AI47" s="83"/>
      <c r="AJ47" s="85"/>
    </row>
    <row r="48" spans="35:36" ht="12.75">
      <c r="AI48" s="83"/>
      <c r="AJ48" s="78"/>
    </row>
    <row r="49" ht="12.75">
      <c r="AI49" s="104"/>
    </row>
    <row r="50" ht="12.75">
      <c r="AI50" s="83"/>
    </row>
    <row r="51" ht="12.75">
      <c r="AI51" s="83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spans="36:72" ht="12">
      <c r="AJ67" s="86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spans="1:35" ht="12">
      <c r="A87" s="40"/>
      <c r="B87" s="74"/>
      <c r="C87" s="40"/>
      <c r="D87" s="74"/>
      <c r="E87" s="40"/>
      <c r="F87" s="74"/>
      <c r="G87" s="40"/>
      <c r="H87" s="74"/>
      <c r="I87" s="40"/>
      <c r="J87" s="74"/>
      <c r="K87" s="40"/>
      <c r="L87" s="74"/>
      <c r="M87" s="40"/>
      <c r="N87" s="74"/>
      <c r="O87" s="40"/>
      <c r="P87" s="75"/>
      <c r="Q87" s="40"/>
      <c r="R87" s="74"/>
      <c r="S87" s="40"/>
      <c r="T87" s="74"/>
      <c r="U87" s="40"/>
      <c r="V87" s="74"/>
      <c r="W87" s="74"/>
      <c r="X87" s="74"/>
      <c r="Y87" s="76"/>
      <c r="Z87" s="74"/>
      <c r="AA87" s="74"/>
      <c r="AB87" s="74"/>
      <c r="AC87" s="74"/>
      <c r="AD87" s="74"/>
      <c r="AE87" s="74"/>
      <c r="AF87" s="74"/>
      <c r="AG87" s="74"/>
      <c r="AH87" s="74"/>
      <c r="AI87" s="40"/>
    </row>
    <row r="88" spans="1:35" ht="12">
      <c r="A88" s="40"/>
      <c r="B88" s="74"/>
      <c r="C88" s="40"/>
      <c r="D88" s="74"/>
      <c r="E88" s="40"/>
      <c r="F88" s="74"/>
      <c r="G88" s="40"/>
      <c r="H88" s="74"/>
      <c r="I88" s="40"/>
      <c r="J88" s="74"/>
      <c r="K88" s="40"/>
      <c r="L88" s="74"/>
      <c r="M88" s="40"/>
      <c r="N88" s="74"/>
      <c r="O88" s="40"/>
      <c r="P88" s="75"/>
      <c r="Q88" s="40"/>
      <c r="R88" s="74"/>
      <c r="S88" s="40"/>
      <c r="T88" s="74"/>
      <c r="U88" s="40"/>
      <c r="V88" s="74"/>
      <c r="W88" s="74"/>
      <c r="X88" s="74"/>
      <c r="Y88" s="76"/>
      <c r="Z88" s="74"/>
      <c r="AA88" s="74"/>
      <c r="AB88" s="74"/>
      <c r="AC88" s="74"/>
      <c r="AD88" s="74"/>
      <c r="AE88" s="74"/>
      <c r="AF88" s="74"/>
      <c r="AG88" s="74"/>
      <c r="AH88" s="74"/>
      <c r="AI88" s="40"/>
    </row>
    <row r="89" spans="36:44" ht="12">
      <c r="AJ89" s="12"/>
      <c r="AK89" s="13"/>
      <c r="AL89" s="13"/>
      <c r="AM89" s="13"/>
      <c r="AN89" s="13"/>
      <c r="AO89" s="13"/>
      <c r="AP89" s="13"/>
      <c r="AQ89" s="13"/>
      <c r="AR89" s="13"/>
    </row>
    <row r="90" spans="36:44" ht="12">
      <c r="AJ90" s="12"/>
      <c r="AK90" s="13"/>
      <c r="AL90" s="13"/>
      <c r="AM90" s="13"/>
      <c r="AN90" s="13"/>
      <c r="AO90" s="13"/>
      <c r="AP90" s="13"/>
      <c r="AQ90" s="13"/>
      <c r="AR90" s="13"/>
    </row>
    <row r="91" spans="36:44" ht="12">
      <c r="AJ91" s="12"/>
      <c r="AK91" s="13"/>
      <c r="AL91" s="13"/>
      <c r="AM91" s="13"/>
      <c r="AN91" s="13"/>
      <c r="AO91" s="13"/>
      <c r="AP91" s="13"/>
      <c r="AQ91" s="13"/>
      <c r="AR91" s="13"/>
    </row>
    <row r="92" spans="37:98" ht="12"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</row>
    <row r="93" spans="37:98" ht="12"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</row>
    <row r="94" spans="37:92" ht="12"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</row>
    <row r="95" ht="12"/>
    <row r="96" ht="12"/>
    <row r="97" spans="37:84" ht="12"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</row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spans="36:92" ht="12">
      <c r="AJ111" s="88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</row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</sheetData>
  <sheetProtection/>
  <mergeCells count="4"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2003-06-03T15:58:30Z</dcterms:created>
  <dcterms:modified xsi:type="dcterms:W3CDTF">2021-08-26T18:44:12Z</dcterms:modified>
  <cp:category/>
  <cp:version/>
  <cp:contentType/>
  <cp:contentStatus/>
</cp:coreProperties>
</file>