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240" yWindow="105" windowWidth="14805" windowHeight="8010" activeTab="3"/>
  </bookViews>
  <sheets>
    <sheet name="Copyright" sheetId="1" r:id="rId1"/>
    <sheet name="dts" sheetId="2" r:id="rId2"/>
    <sheet name="Est_Sit_Fin_Clas" sheetId="3" r:id="rId3"/>
    <sheet name="Est_Res_Funcion" sheetId="4" r:id="rId4"/>
    <sheet name="Est_Flujo_Directo" sheetId="5" r:id="rId5"/>
    <sheet name="Elementos" sheetId="6" r:id="rId6"/>
    <sheet name="Hoja1" sheetId="7" r:id="rId7"/>
  </sheets>
  <definedNames>
    <definedName name="DirOficial">dts!$G$1</definedName>
    <definedName name="igual">" = "</definedName>
  </definedNames>
  <calcPr calcId="145621"/>
</workbook>
</file>

<file path=xl/calcChain.xml><?xml version="1.0" encoding="utf-8"?>
<calcChain xmlns="http://schemas.openxmlformats.org/spreadsheetml/2006/main">
  <c r="D4" i="4" l="1"/>
  <c r="C4" i="4"/>
  <c r="D2" i="2" l="1"/>
  <c r="D123" i="5" l="1"/>
  <c r="E94" i="2"/>
  <c r="E93" i="2"/>
  <c r="E105" i="2" l="1"/>
  <c r="F6" i="7" l="1"/>
  <c r="G6" i="7"/>
  <c r="F7" i="7"/>
  <c r="G7" i="7"/>
  <c r="H7" i="7" s="1"/>
  <c r="F8" i="7"/>
  <c r="G8" i="7"/>
  <c r="H8" i="7" s="1"/>
  <c r="F9" i="7"/>
  <c r="G9" i="7"/>
  <c r="F10" i="7"/>
  <c r="G10" i="7"/>
  <c r="F11" i="7"/>
  <c r="G11" i="7"/>
  <c r="F12" i="7"/>
  <c r="G12" i="7"/>
  <c r="H12" i="7" s="1"/>
  <c r="F13" i="7"/>
  <c r="G13" i="7"/>
  <c r="H13" i="7" s="1"/>
  <c r="F14" i="7"/>
  <c r="G14" i="7"/>
  <c r="F15" i="7"/>
  <c r="G15" i="7"/>
  <c r="F16" i="7"/>
  <c r="G16" i="7"/>
  <c r="H16" i="7" s="1"/>
  <c r="F17" i="7"/>
  <c r="G17" i="7"/>
  <c r="H17" i="7" s="1"/>
  <c r="F18" i="7"/>
  <c r="G18" i="7"/>
  <c r="F19" i="7"/>
  <c r="G19" i="7"/>
  <c r="F20" i="7"/>
  <c r="G20" i="7"/>
  <c r="H20" i="7" s="1"/>
  <c r="F21" i="7"/>
  <c r="G21" i="7"/>
  <c r="H21" i="7" s="1"/>
  <c r="F22" i="7"/>
  <c r="G22" i="7"/>
  <c r="F23" i="7"/>
  <c r="G23" i="7"/>
  <c r="F24" i="7"/>
  <c r="G24" i="7"/>
  <c r="H24" i="7" s="1"/>
  <c r="F25" i="7"/>
  <c r="G25" i="7"/>
  <c r="H25" i="7" s="1"/>
  <c r="F26" i="7"/>
  <c r="G26" i="7"/>
  <c r="F27" i="7"/>
  <c r="G27" i="7"/>
  <c r="F28" i="7"/>
  <c r="G28" i="7"/>
  <c r="H28" i="7" s="1"/>
  <c r="F29" i="7"/>
  <c r="G29" i="7"/>
  <c r="H29" i="7" s="1"/>
  <c r="F30" i="7"/>
  <c r="G30" i="7"/>
  <c r="F31" i="7"/>
  <c r="G31" i="7"/>
  <c r="F32" i="7"/>
  <c r="G32" i="7"/>
  <c r="H32" i="7" s="1"/>
  <c r="F33" i="7"/>
  <c r="G33" i="7"/>
  <c r="H33" i="7" s="1"/>
  <c r="F34" i="7"/>
  <c r="G34" i="7"/>
  <c r="F35" i="7"/>
  <c r="G35" i="7"/>
  <c r="F36" i="7"/>
  <c r="G36" i="7"/>
  <c r="H36" i="7" s="1"/>
  <c r="F37" i="7"/>
  <c r="G37" i="7"/>
  <c r="H37" i="7" s="1"/>
  <c r="F38" i="7"/>
  <c r="G38" i="7"/>
  <c r="F39" i="7"/>
  <c r="G39" i="7"/>
  <c r="F40" i="7"/>
  <c r="G40" i="7"/>
  <c r="H40" i="7" s="1"/>
  <c r="F41" i="7"/>
  <c r="G41" i="7"/>
  <c r="H41" i="7" s="1"/>
  <c r="F42" i="7"/>
  <c r="G42" i="7"/>
  <c r="F43" i="7"/>
  <c r="G43" i="7"/>
  <c r="F44" i="7"/>
  <c r="G44" i="7"/>
  <c r="H44" i="7" s="1"/>
  <c r="F45" i="7"/>
  <c r="G45" i="7"/>
  <c r="H45" i="7" s="1"/>
  <c r="F46" i="7"/>
  <c r="H46" i="7" s="1"/>
  <c r="G46" i="7"/>
  <c r="F47" i="7"/>
  <c r="G47" i="7"/>
  <c r="F48" i="7"/>
  <c r="G48" i="7"/>
  <c r="H48" i="7" s="1"/>
  <c r="F49" i="7"/>
  <c r="G49" i="7"/>
  <c r="H49" i="7" s="1"/>
  <c r="F50" i="7"/>
  <c r="G50" i="7"/>
  <c r="F51" i="7"/>
  <c r="G51" i="7"/>
  <c r="F52" i="7"/>
  <c r="G52" i="7"/>
  <c r="H52" i="7" s="1"/>
  <c r="F53" i="7"/>
  <c r="G53" i="7"/>
  <c r="H53" i="7" s="1"/>
  <c r="F54" i="7"/>
  <c r="G54" i="7"/>
  <c r="F55" i="7"/>
  <c r="G55" i="7"/>
  <c r="F56" i="7"/>
  <c r="G56" i="7"/>
  <c r="H56" i="7" s="1"/>
  <c r="F57" i="7"/>
  <c r="G57" i="7"/>
  <c r="H57" i="7" s="1"/>
  <c r="F58" i="7"/>
  <c r="G58" i="7"/>
  <c r="G59" i="7"/>
  <c r="G5" i="7"/>
  <c r="F5" i="7"/>
  <c r="H58" i="7" l="1"/>
  <c r="H54" i="7"/>
  <c r="H51" i="7"/>
  <c r="H50" i="7"/>
  <c r="H47" i="7"/>
  <c r="H43" i="7"/>
  <c r="H42" i="7"/>
  <c r="H39" i="7"/>
  <c r="H38" i="7"/>
  <c r="H35" i="7"/>
  <c r="H34" i="7"/>
  <c r="H31" i="7"/>
  <c r="H30" i="7"/>
  <c r="H27" i="7"/>
  <c r="H26" i="7"/>
  <c r="H23" i="7"/>
  <c r="H22" i="7"/>
  <c r="H19" i="7"/>
  <c r="H18" i="7"/>
  <c r="H15" i="7"/>
  <c r="H14" i="7"/>
  <c r="H11" i="7"/>
  <c r="H10" i="7"/>
  <c r="H9" i="7"/>
  <c r="H6" i="7"/>
  <c r="H55" i="7"/>
  <c r="H5" i="7"/>
  <c r="G2" i="2" l="1"/>
  <c r="G1" i="2"/>
  <c r="D1" i="2"/>
  <c r="E101" i="2" l="1"/>
  <c r="E97" i="2"/>
  <c r="E89" i="2"/>
  <c r="E85" i="2"/>
  <c r="E81" i="2"/>
  <c r="E77" i="2"/>
  <c r="E73" i="2"/>
  <c r="E69" i="2"/>
  <c r="E65" i="2"/>
  <c r="E61" i="2"/>
  <c r="E57" i="2"/>
  <c r="E53" i="2"/>
  <c r="E98" i="2"/>
  <c r="E90" i="2"/>
  <c r="E78" i="2"/>
  <c r="E66" i="2"/>
  <c r="E58" i="2"/>
  <c r="E104" i="2"/>
  <c r="E100" i="2"/>
  <c r="E96" i="2"/>
  <c r="E92" i="2"/>
  <c r="E88" i="2"/>
  <c r="E84" i="2"/>
  <c r="E80" i="2"/>
  <c r="E76" i="2"/>
  <c r="E72" i="2"/>
  <c r="E68" i="2"/>
  <c r="E64" i="2"/>
  <c r="E60" i="2"/>
  <c r="E56" i="2"/>
  <c r="E82" i="2"/>
  <c r="E70" i="2"/>
  <c r="E62" i="2"/>
  <c r="E54" i="2"/>
  <c r="E103" i="2"/>
  <c r="E99" i="2"/>
  <c r="E95" i="2"/>
  <c r="E91" i="2"/>
  <c r="E87" i="2"/>
  <c r="E83" i="2"/>
  <c r="E79" i="2"/>
  <c r="E75" i="2"/>
  <c r="E71" i="2"/>
  <c r="E67" i="2"/>
  <c r="E63" i="2"/>
  <c r="E59" i="2"/>
  <c r="E55" i="2"/>
  <c r="E102" i="2"/>
  <c r="E86" i="2"/>
  <c r="E74" i="2"/>
  <c r="J5" i="7"/>
  <c r="J9" i="7"/>
  <c r="J13" i="7"/>
  <c r="J17" i="7"/>
  <c r="J21" i="7"/>
  <c r="J25" i="7"/>
  <c r="J29" i="7"/>
  <c r="J33" i="7"/>
  <c r="J37" i="7"/>
  <c r="J41" i="7"/>
  <c r="J45" i="7"/>
  <c r="J49" i="7"/>
  <c r="J53" i="7"/>
  <c r="E36" i="7"/>
  <c r="E8" i="7"/>
  <c r="E17" i="7"/>
  <c r="E7" i="7"/>
  <c r="E42" i="7"/>
  <c r="J6" i="7"/>
  <c r="J10" i="7"/>
  <c r="J14" i="7"/>
  <c r="J18" i="7"/>
  <c r="J22" i="7"/>
  <c r="J26" i="7"/>
  <c r="J30" i="7"/>
  <c r="J34" i="7"/>
  <c r="J38" i="7"/>
  <c r="J42" i="7"/>
  <c r="J46" i="7"/>
  <c r="J50" i="7"/>
  <c r="J54" i="7"/>
  <c r="E5" i="7"/>
  <c r="E47" i="7"/>
  <c r="E46" i="7"/>
  <c r="E58" i="7"/>
  <c r="E16" i="7"/>
  <c r="E40" i="7"/>
  <c r="E18" i="7"/>
  <c r="E34" i="7"/>
  <c r="E55" i="7"/>
  <c r="E19" i="7"/>
  <c r="E45" i="7"/>
  <c r="E10" i="7"/>
  <c r="E26" i="7"/>
  <c r="E37" i="7"/>
  <c r="E11" i="7"/>
  <c r="J55" i="7"/>
  <c r="E15" i="7"/>
  <c r="E28" i="7"/>
  <c r="E12" i="7"/>
  <c r="E29" i="7"/>
  <c r="E38" i="7"/>
  <c r="E32" i="7"/>
  <c r="E9" i="7"/>
  <c r="J7" i="7"/>
  <c r="J11" i="7"/>
  <c r="J15" i="7"/>
  <c r="J19" i="7"/>
  <c r="J23" i="7"/>
  <c r="J27" i="7"/>
  <c r="J31" i="7"/>
  <c r="J35" i="7"/>
  <c r="J39" i="7"/>
  <c r="J43" i="7"/>
  <c r="J47" i="7"/>
  <c r="J51" i="7"/>
  <c r="E57" i="7"/>
  <c r="E20" i="7"/>
  <c r="E21" i="7"/>
  <c r="E44" i="7"/>
  <c r="E56" i="7"/>
  <c r="E30" i="7"/>
  <c r="J8" i="7"/>
  <c r="J12" i="7"/>
  <c r="J16" i="7"/>
  <c r="J20" i="7"/>
  <c r="J24" i="7"/>
  <c r="J28" i="7"/>
  <c r="J32" i="7"/>
  <c r="J36" i="7"/>
  <c r="J40" i="7"/>
  <c r="J44" i="7"/>
  <c r="J48" i="7"/>
  <c r="J52" i="7"/>
  <c r="J56" i="7"/>
  <c r="E14" i="7"/>
  <c r="E54" i="7"/>
  <c r="E24" i="7"/>
  <c r="E41" i="7"/>
  <c r="E51" i="7"/>
  <c r="E31" i="7"/>
  <c r="E6" i="7"/>
  <c r="E27" i="7"/>
  <c r="E43" i="7"/>
  <c r="E52" i="7"/>
  <c r="E23" i="7"/>
  <c r="E25" i="7"/>
  <c r="E50" i="7"/>
  <c r="J57" i="7"/>
  <c r="E13" i="7"/>
  <c r="E35" i="7"/>
  <c r="E39" i="7"/>
  <c r="E53" i="7"/>
  <c r="E49" i="7"/>
  <c r="E33" i="7"/>
  <c r="E22" i="7"/>
  <c r="E8" i="2"/>
  <c r="E6" i="2" l="1"/>
  <c r="D139" i="5" l="1"/>
  <c r="D136" i="5"/>
  <c r="D135" i="5"/>
  <c r="D134" i="5"/>
  <c r="D110" i="5"/>
  <c r="D101" i="5"/>
  <c r="D100" i="5"/>
  <c r="D55" i="5"/>
  <c r="D54" i="5"/>
  <c r="D32" i="5"/>
  <c r="D25" i="5"/>
  <c r="D71" i="4"/>
  <c r="E65" i="4"/>
  <c r="D61" i="4"/>
  <c r="D60" i="4"/>
  <c r="D53" i="4"/>
  <c r="D41" i="4"/>
  <c r="D38" i="4"/>
  <c r="D34" i="4"/>
  <c r="D32" i="4"/>
  <c r="D30" i="4"/>
  <c r="D19" i="4"/>
  <c r="D13" i="4"/>
  <c r="D100" i="3"/>
  <c r="D92" i="3"/>
  <c r="D80" i="3"/>
  <c r="D79" i="3"/>
  <c r="D69" i="3"/>
  <c r="D67" i="3"/>
  <c r="D55" i="3"/>
  <c r="D54" i="3"/>
  <c r="D38" i="3"/>
  <c r="D37" i="3"/>
  <c r="D22" i="3"/>
  <c r="D20" i="3"/>
  <c r="D115" i="6" l="1"/>
  <c r="D114" i="6"/>
  <c r="D113" i="6"/>
  <c r="D112" i="6"/>
  <c r="D111" i="6"/>
  <c r="D110" i="6"/>
  <c r="D109" i="6"/>
  <c r="D108" i="6"/>
  <c r="D107" i="6"/>
  <c r="D106" i="6"/>
  <c r="D105" i="6"/>
  <c r="D104" i="6"/>
  <c r="D103" i="6"/>
  <c r="D102" i="6"/>
  <c r="D101" i="6"/>
  <c r="D100" i="6"/>
  <c r="D99" i="6"/>
  <c r="D98" i="6"/>
  <c r="D97" i="6"/>
  <c r="D96" i="6"/>
  <c r="D95" i="6"/>
  <c r="D94" i="6"/>
  <c r="D93" i="6"/>
  <c r="D92" i="6"/>
  <c r="D91" i="6"/>
  <c r="D90" i="6"/>
  <c r="D89" i="6"/>
  <c r="D88" i="6"/>
  <c r="D87" i="6"/>
  <c r="D86" i="6"/>
  <c r="D85" i="6"/>
  <c r="D84" i="6"/>
  <c r="D83" i="6"/>
  <c r="D82" i="6"/>
  <c r="D81" i="6"/>
  <c r="D80" i="6"/>
  <c r="D79" i="6"/>
  <c r="D78" i="6"/>
  <c r="D77" i="6"/>
  <c r="D76" i="6"/>
  <c r="D75" i="6"/>
  <c r="D74" i="6"/>
  <c r="D73" i="6"/>
  <c r="D72" i="6"/>
  <c r="D71" i="6"/>
  <c r="D70" i="6"/>
  <c r="D69" i="6"/>
  <c r="D68" i="6"/>
  <c r="D67" i="6"/>
  <c r="D66" i="6"/>
  <c r="D65" i="6"/>
  <c r="D64" i="6"/>
  <c r="D63" i="6"/>
  <c r="D62" i="6"/>
  <c r="D61" i="6"/>
  <c r="D60" i="6"/>
  <c r="D59" i="6"/>
  <c r="D58" i="6"/>
  <c r="D57" i="6"/>
  <c r="D56" i="6"/>
  <c r="D55" i="6"/>
  <c r="D54" i="6"/>
  <c r="D53" i="6"/>
  <c r="D52" i="6"/>
  <c r="D51" i="6"/>
  <c r="D50" i="6"/>
  <c r="D49" i="6"/>
  <c r="D48" i="6"/>
  <c r="D47" i="6"/>
  <c r="D46" i="6"/>
  <c r="D45" i="6"/>
  <c r="D44" i="6"/>
  <c r="D43" i="6"/>
  <c r="D42" i="6"/>
  <c r="D41" i="6"/>
  <c r="D40" i="6"/>
  <c r="D39" i="6"/>
  <c r="D38" i="6"/>
  <c r="D37" i="6"/>
  <c r="D36" i="6"/>
  <c r="D35" i="6"/>
  <c r="D34" i="6"/>
  <c r="D33" i="6"/>
  <c r="D32" i="6"/>
  <c r="D31" i="6"/>
  <c r="D30" i="6"/>
  <c r="D29" i="6"/>
  <c r="D28" i="6"/>
  <c r="D27" i="6"/>
  <c r="D26" i="6"/>
  <c r="D25" i="6"/>
  <c r="D24" i="6"/>
  <c r="D23" i="6"/>
  <c r="D22" i="6"/>
  <c r="D21" i="6"/>
  <c r="D20" i="6"/>
  <c r="D19" i="6"/>
  <c r="D18" i="6"/>
  <c r="D17" i="6"/>
  <c r="D16" i="6"/>
  <c r="D15" i="6"/>
  <c r="D14" i="6"/>
  <c r="D13" i="6"/>
  <c r="D12" i="6"/>
  <c r="D11" i="6"/>
  <c r="D10" i="6"/>
  <c r="D9" i="6"/>
  <c r="D8" i="6"/>
  <c r="D7" i="6"/>
  <c r="D6" i="6"/>
  <c r="D5" i="6"/>
  <c r="D4" i="6"/>
  <c r="D3" i="6"/>
  <c r="D2" i="6"/>
  <c r="D84" i="5"/>
  <c r="D58" i="4"/>
  <c r="D56" i="4"/>
  <c r="D52" i="4"/>
  <c r="D46" i="4"/>
  <c r="D103" i="3"/>
  <c r="D102" i="3"/>
  <c r="D91" i="3"/>
  <c r="C4" i="3" l="1"/>
  <c r="C4" i="5"/>
  <c r="D75" i="4" l="1"/>
  <c r="C45" i="2" l="1"/>
  <c r="C42" i="2"/>
  <c r="C35" i="2"/>
  <c r="C32" i="2"/>
  <c r="C29" i="2"/>
  <c r="C21" i="2"/>
  <c r="C18" i="2"/>
  <c r="E5" i="2"/>
  <c r="C16" i="2" l="1"/>
  <c r="C6" i="2"/>
  <c r="E49" i="2" l="1"/>
  <c r="C48" i="2"/>
  <c r="C25" i="2"/>
  <c r="C14" i="2"/>
  <c r="C50" i="2" s="1"/>
  <c r="C49" i="2"/>
  <c r="C38" i="2"/>
  <c r="C52" i="2" s="1"/>
  <c r="C15" i="2"/>
  <c r="C24" i="2"/>
  <c r="C51" i="2" s="1"/>
  <c r="C39" i="2"/>
  <c r="E48" i="2"/>
  <c r="D24" i="2"/>
  <c r="C26" i="2"/>
  <c r="E31" i="2" s="1"/>
  <c r="C27" i="2"/>
  <c r="E34" i="2" s="1"/>
  <c r="D38" i="2"/>
  <c r="E38" i="2" s="1"/>
  <c r="E52" i="2" s="1"/>
  <c r="C40" i="2"/>
  <c r="D14" i="2"/>
  <c r="E15" i="2" l="1"/>
  <c r="E39" i="2"/>
  <c r="E25" i="2"/>
  <c r="E20" i="2"/>
  <c r="E14" i="2"/>
  <c r="E50" i="2" s="1"/>
  <c r="E17" i="2"/>
  <c r="E28" i="2"/>
  <c r="E24" i="2"/>
  <c r="E51" i="2" s="1"/>
  <c r="E41" i="2"/>
  <c r="E44" i="2"/>
</calcChain>
</file>

<file path=xl/sharedStrings.xml><?xml version="1.0" encoding="utf-8"?>
<sst xmlns="http://schemas.openxmlformats.org/spreadsheetml/2006/main" count="2341" uniqueCount="777">
  <si>
    <t>Date as used for taxonomy file names:</t>
  </si>
  <si>
    <t>fecha TAXONOMIA ORIGINAL IASB (usada en roles)</t>
  </si>
  <si>
    <t>Build:</t>
  </si>
  <si>
    <t>param1</t>
  </si>
  <si>
    <t>param2</t>
  </si>
  <si>
    <t>param3</t>
  </si>
  <si>
    <t>param4</t>
  </si>
  <si>
    <t>param5</t>
  </si>
  <si>
    <t>param6</t>
  </si>
  <si>
    <t>VERSION</t>
  </si>
  <si>
    <t>LOAD</t>
  </si>
  <si>
    <t>BOT</t>
  </si>
  <si>
    <t>cl-hs</t>
  </si>
  <si>
    <t>CONCEPTS</t>
  </si>
  <si>
    <t>Elementos!B2</t>
  </si>
  <si>
    <t>BOL</t>
  </si>
  <si>
    <t>LABELLINK</t>
  </si>
  <si>
    <t>http://www.xbrl.org/2003/role/link</t>
  </si>
  <si>
    <t>es</t>
  </si>
  <si>
    <t>Elementos!L2</t>
  </si>
  <si>
    <t>http://www.xbrl.org/2003/role/label</t>
  </si>
  <si>
    <t>Elementos!M2</t>
  </si>
  <si>
    <t>http://www.xbrl.org/2003/role/periodStartLabel</t>
  </si>
  <si>
    <t>Elementos!N2</t>
  </si>
  <si>
    <t>http://www.xbrl.org/2003/role/periodEndLabel</t>
  </si>
  <si>
    <t>EOL</t>
  </si>
  <si>
    <t>EOT</t>
  </si>
  <si>
    <t>IMPORT</t>
  </si>
  <si>
    <t>ROLE</t>
  </si>
  <si>
    <t>P,C</t>
  </si>
  <si>
    <t>Est_Sit_Fin_Clas!C4</t>
  </si>
  <si>
    <t>Est_Sit_Fin_Clas!C5</t>
  </si>
  <si>
    <t>PRESLINK</t>
  </si>
  <si>
    <t>Est_Sit_Fin_Clas!C8</t>
  </si>
  <si>
    <t>Est_Sit_Fin_Clas!E8</t>
  </si>
  <si>
    <t>Est_Sit_Fin_Clas!B8</t>
  </si>
  <si>
    <t>CALCLINK</t>
  </si>
  <si>
    <t>Est_Sit_Fin_Clas!D8</t>
  </si>
  <si>
    <t>Est_Res_Funcion!C4</t>
  </si>
  <si>
    <t>Est_Res_Funcion!C5</t>
  </si>
  <si>
    <t>C</t>
  </si>
  <si>
    <t>Est_Res_Funcion!D4</t>
  </si>
  <si>
    <t>Est_Res_Funcion!D5</t>
  </si>
  <si>
    <t>Est_Res_Funcion!C8</t>
  </si>
  <si>
    <t>Est_Res_Funcion!F8</t>
  </si>
  <si>
    <t>Est_Res_Funcion!B8</t>
  </si>
  <si>
    <t>Est_Res_Funcion!D8</t>
  </si>
  <si>
    <t>Est_Res_Funcion!E8</t>
  </si>
  <si>
    <t>Est_Flujo_Directo!C4</t>
  </si>
  <si>
    <t>Est_Flujo_Directo!C5</t>
  </si>
  <si>
    <t>Est_Flujo_Directo!C8</t>
  </si>
  <si>
    <t>Est_Flujo_Directo!E8</t>
  </si>
  <si>
    <t>Est_Flujo_Directo!B8</t>
  </si>
  <si>
    <t>Est_Flujo_Directo!D8</t>
  </si>
  <si>
    <t>cl-hs_shell</t>
  </si>
  <si>
    <t>end</t>
  </si>
  <si>
    <t>Direccion OFICIAL CL-CI SVS</t>
  </si>
  <si>
    <t>PREFIJO SVS CL-CI</t>
  </si>
  <si>
    <t>http://www.svs.cl/cl/fr/ci/2016-01-11/cl-ci_ifrs-3_2015-03-11_role-817000</t>
  </si>
  <si>
    <t>http://www.svs.cl/cl/fr/ci/2016-01-11/cl-ci_cl-cp_2016-01-11_role-822450</t>
  </si>
  <si>
    <t>http://www.svs.cl/cl/fr/ci/2016-01-11/cl-ci_cl-cp_2016-01-11_role-874000</t>
  </si>
  <si>
    <t>http://www.svs.cl/cl/fr/ci/2016-01-11/cl-ci_ias-1_2015-03-11_role-861200</t>
  </si>
  <si>
    <t>http://www.svs.cl/cl/fr/ci/2016-01-11/cl-ci_ias-11_2015-03-11_role-831710</t>
  </si>
  <si>
    <t>http://www.svs.cl/cl/fr/ci/2016-01-11/cl-ci_ias-19_2015-03-11_role-834480</t>
  </si>
  <si>
    <t>http://www.svs.cl/cl/fr/ci/2016-01-11/cl-ci_ias-36_2015-03-11_role-832410</t>
  </si>
  <si>
    <t>http://www.svs.cl/cl/fr/ci/2016-01-11/cl-ci_ias-7_2015-03-11_role-851100</t>
  </si>
  <si>
    <t>http://www.svs.cl/cl/fr/ci/2016-01-11/cl-ci_ias-1_2015-03-11_role-880000</t>
  </si>
  <si>
    <t>http://www.svs.cl/cl/fr/ci/2016-01-11/cl-ci_sic-29_2015-03-11_role-832900</t>
  </si>
  <si>
    <t>http://www.svs.cl/cl/fr/ci/2016-01-11/cl-ci_ias-12_2015-03-11_role-835110</t>
  </si>
  <si>
    <t>http://www.svs.cl/cl/fr/ci/2016-01-11/cl-ci_ias-21_2015-03-11_role-842000</t>
  </si>
  <si>
    <t>http://www.svs.cl/cl/fr/ci/2016-01-11/cl-ci_ifrs-5_2015-03-11_role-825900</t>
  </si>
  <si>
    <t>http://www.svs.cl/cl/fr/ci/2016-01-11/cl-ci_ias-20_2015-03-11_role-831400</t>
  </si>
  <si>
    <t>http://www.svs.cl/cl/fr/ci/2016-01-11/cl-ci_cl-cp_2016-01-11_role-873000</t>
  </si>
  <si>
    <t>http://www.svs.cl/cl/fr/ci/2016-01-11/cl-ci_cl-cp_2016-01-11_role-822400</t>
  </si>
  <si>
    <t>http://www.svs.cl/cl/fr/ci/2016-01-11/cl-ci_ias-8_2015-03-11_role-811000</t>
  </si>
  <si>
    <t>http://www.svs.cl/cl/fr/ci/2016-01-11/cl-ci_ifrs-12_2015-03-11_role-825700</t>
  </si>
  <si>
    <t>http://www.svs.cl/cl/fr/ci/2016-01-11/cl-ci_ifrs-13_2015-03-11_role-823000</t>
  </si>
  <si>
    <t>http://www.svs.cl/cl/fr/ci/2016-01-11/cl-ci_ifrs-2_2015-03-11_role-834120</t>
  </si>
  <si>
    <t>http://www.svs.cl/cl/fr/ci/2016-01-11/cl-ci_ias-16_2015-03-11_role-822100</t>
  </si>
  <si>
    <t>http://www.svs.cl/cl/fr/ci/2016-01-11/cl-ci_ias-37_2015-03-11_role-827570</t>
  </si>
  <si>
    <t>http://www.svs.cl/cl/fr/ci/2016-01-11/cl-ci_ias-1_2015-03-11_role-800600</t>
  </si>
  <si>
    <t>http://www.svs.cl/cl/fr/ci/2016-01-11/cl-ci_ifrs-6_2015-03-11_role-822200</t>
  </si>
  <si>
    <t>http://www.svs.cl/cl/fr/ci/2016-01-11/cl-ci_circ-1901_2008-10-30_role-890000</t>
  </si>
  <si>
    <t>http://www.svs.cl/cl/fr/ci/2016-01-11/cl-ci_ias-18_2015-03-11_role-831110</t>
  </si>
  <si>
    <t>http://www.svs.cl/cl/fr/ci/2016-01-11/cl-ci_sic-27_2015-03-11_role-832800</t>
  </si>
  <si>
    <t>http://www.svs.cl/cl/fr/ci/2016-01-11/cl-ci_ias-1_2015-03-11_role-800200</t>
  </si>
  <si>
    <t>http://www.svs.cl/cl/fr/ci/2016-01-11/cl-ci_ias-2_2015-03-11_role-826380</t>
  </si>
  <si>
    <t>http://www.svs.cl/cl/fr/ci/2016-01-11/cl-ci_ias-1_2015-03-11_role-861000</t>
  </si>
  <si>
    <t>http://www.svs.cl/cl/fr/ci/2016-01-11/cl-ci_ias-23_2015-03-11_role-836200</t>
  </si>
  <si>
    <t>http://www.svs.cl/cl/fr/ci/2016-01-11/cl-ci_ias-38_2015-03-11_role-823180</t>
  </si>
  <si>
    <t>http://www.svs.cl/cl/fr/ci/2016-01-11/cl-ci_ifrs-3_2015-03-11_role-817100</t>
  </si>
  <si>
    <t>http://www.svs.cl/cl/fr/ci/2016-01-11/cl-ci_cl-cp_2016-01-11_role-875000</t>
  </si>
  <si>
    <t>http://www.svs.cl/cl/fr/ci/2016-01-11/cl-ci_ias-1_2015-03-11_role-800500</t>
  </si>
  <si>
    <t>http://www.svs.cl/cl/fr/ci/2016-01-11/cl-ci_circ-1901_2008-10-30_role-872000</t>
  </si>
  <si>
    <t>http://www.svs.cl/cl/fr/ci/2016-01-11/cl-ci_cl-cp_2016-01-11_role-822410</t>
  </si>
  <si>
    <t>http://www.svs.cl/cl/fr/ci/2016-01-11/cl-ci_ias-41_2015-03-11_role-824180</t>
  </si>
  <si>
    <t>http://www.svs.cl/cl/fr/ci/2016-01-11/cl-ci_ias-1_2015-03-11_role-810000</t>
  </si>
  <si>
    <t>http://www.svs.cl/cl/fr/ci/2016-01-11/cl-ci_ias-40_2015-03-11_role-825100</t>
  </si>
  <si>
    <t>http://www.svs.cl/cl/fr/ci/2016-01-11/cl-ci_ias-24_2015-03-11_role-818000</t>
  </si>
  <si>
    <t>http://www.svs.cl/cl/fr/ci/2016-01-11/cl-ci_ias-10_2015-03-11_role-815000</t>
  </si>
  <si>
    <t>http://www.svs.cl/cl/fr/ci/2016-01-11/cl-ci_ias-17_2015-03-11_role-832600</t>
  </si>
  <si>
    <t>http://www.svs.cl/cl/fr/ci/2016-01-11/cl-ci_ias-1_2015-03-11_role-800100</t>
  </si>
  <si>
    <t>http://www.svs.cl/cl/fr/ci/2016-01-11/cl-ci_ias-33_2015-03-11_role-838000</t>
  </si>
  <si>
    <t>http://www.svs.cl/cl/fr/ci/2016-01-11/cl-ci_ifrs-8_2015-03-11_role-871100</t>
  </si>
  <si>
    <t>http://www.svs.cl/cl/fr/ci/2016-01-11/full_ifrs-dim_2015-03-11</t>
  </si>
  <si>
    <t>http://www.svs.cl/cl/fr/ci/2016-01-11/cl-ci_mc_2015-03-11_role-105000</t>
  </si>
  <si>
    <t>http://www.svs.cl/cl/fr/ci/2016-01-11/cl-ci_ias-1_2015-03-11_role-110000</t>
  </si>
  <si>
    <t>http://www.svs.cl/cl/fr/ci/2016-01-11/cl-ci_ias-1_2015-03-11_role-420000</t>
  </si>
  <si>
    <t>http://www.svs.cl/cl/fr/ci/2016-01-11/cl-ci_ias-1_2015-03-11_role-610000</t>
  </si>
  <si>
    <t>http://www.svs.cl/cl/fr/ci/2016-01-11/cl-ci_ifrs-14_2015-03-11_role-824500</t>
  </si>
  <si>
    <t>http://www.svs.cl/cl/fr/ci/2016-01-11/cl-ci_ifrs-15_2015-03-11_role-831150</t>
  </si>
  <si>
    <t>extended link:</t>
  </si>
  <si>
    <t>Definition:</t>
  </si>
  <si>
    <t>[210000] Estado de situación financiera, corriente/no corriente - Estados financieros consolidados</t>
  </si>
  <si>
    <t>Number</t>
  </si>
  <si>
    <t>Presentation structure</t>
  </si>
  <si>
    <t>Calculation Structure</t>
  </si>
  <si>
    <t>Prefix</t>
  </si>
  <si>
    <t>Name</t>
  </si>
  <si>
    <t>Estado de situación financiera [sinopsis]</t>
  </si>
  <si>
    <t>ifrs-full</t>
  </si>
  <si>
    <t>StatementOfFinancialPositionAbstract</t>
  </si>
  <si>
    <t>Activos [sinopsis]</t>
  </si>
  <si>
    <t>AssetsAbstract</t>
  </si>
  <si>
    <t>Activos corrientes [sinopsis]</t>
  </si>
  <si>
    <t>CurrentAssetsAbstract</t>
  </si>
  <si>
    <t>Efectivo y equivalentes al efectivo</t>
  </si>
  <si>
    <t>CashAndCashEquivalents</t>
  </si>
  <si>
    <t>Otros activos financieros corrientes</t>
  </si>
  <si>
    <t>OtherCurrentFinancialAssets</t>
  </si>
  <si>
    <t>Otros activos no financieros corrientes</t>
  </si>
  <si>
    <t>OtherCurrentNonfinancialAssets</t>
  </si>
  <si>
    <t>Deudores comerciales y otras cuentas por cobrar corrientes</t>
  </si>
  <si>
    <t>TradeAndOtherCurrentReceivables</t>
  </si>
  <si>
    <t>Cuentas por cobrar a entidades relacionadas, corrientes</t>
  </si>
  <si>
    <t>cl-ci</t>
  </si>
  <si>
    <t>CuentasCobrarEntidadesRelacionadasCorrientes</t>
  </si>
  <si>
    <t>Inventarios corrientes</t>
  </si>
  <si>
    <t>Inventories</t>
  </si>
  <si>
    <t>Activos biológicos corrientes</t>
  </si>
  <si>
    <t>CurrentBiologicalAssets</t>
  </si>
  <si>
    <t>Activos por impuestos corrientes, corrientes</t>
  </si>
  <si>
    <t>CurrentTaxAssetsCurrent</t>
  </si>
  <si>
    <t>Total de activos corrientes distintos de los activo o grupos de activos para su disposición clasificados como mantenidos para la venta o como mantenidos para distribuir a los propietarios</t>
  </si>
  <si>
    <t>CurrentAssetsOtherThanAssetsOrDisposalGroupsClassifiedAsHeldForSaleOrAsHeldForDistributionToOwners</t>
  </si>
  <si>
    <t>Activos no corrientes o grupos de activos para su disposición clasificados como mantenidos para la venta o como mantenidos para distribuir a los propietarios</t>
  </si>
  <si>
    <t>NoncurrentAssetsOrDisposalGroupsClassifiedAsHeldForSaleOrAsHeldForDistributionToOwners</t>
  </si>
  <si>
    <t>Activos corrientes totales</t>
  </si>
  <si>
    <t>CurrentAssets</t>
  </si>
  <si>
    <t>Activos no corrientes [sinopsis]</t>
  </si>
  <si>
    <t>NoncurrentAssetsAbstract</t>
  </si>
  <si>
    <t>Otros activos financieros no corrientes</t>
  </si>
  <si>
    <t>OtherNoncurrentFinancialAssets</t>
  </si>
  <si>
    <t>Otros activos no financieros no corrientes</t>
  </si>
  <si>
    <t>OtherNoncurrentNonfinancialAssets</t>
  </si>
  <si>
    <t>Cuentas por cobrar no corrientes</t>
  </si>
  <si>
    <t>NoncurrentReceivables</t>
  </si>
  <si>
    <t>Cuentas por cobrar a entidades relacionadas, no corrientes</t>
  </si>
  <si>
    <t>CuentasCobrarEntidadesRelacionadasNoCorrientes</t>
  </si>
  <si>
    <t>Inventarios, no corrientes</t>
  </si>
  <si>
    <t>NoncurrentInventories</t>
  </si>
  <si>
    <t>Inversiones contabilizadas utilizando el método de la participación</t>
  </si>
  <si>
    <t>InvestmentAccountedForUsingEquityMethod</t>
  </si>
  <si>
    <t>Activos intangibles distintos de la plusvalía</t>
  </si>
  <si>
    <t>IntangibleAssetsOtherThanGoodwill</t>
  </si>
  <si>
    <t>Plusvalía</t>
  </si>
  <si>
    <t>Goodwill</t>
  </si>
  <si>
    <t>Propiedades, planta y equipo</t>
  </si>
  <si>
    <t>PropertyPlantAndEquipment</t>
  </si>
  <si>
    <t>Activos biológicos no corrientes</t>
  </si>
  <si>
    <t>NoncurrentBiologicalAssets</t>
  </si>
  <si>
    <t>Propiedad de inversión</t>
  </si>
  <si>
    <t>InvestmentProperty</t>
  </si>
  <si>
    <t>Activos por impuestos corrientes, no corrientes</t>
  </si>
  <si>
    <t>CurrentTaxAssetsNoncurrent</t>
  </si>
  <si>
    <t>Activos por impuestos diferidos</t>
  </si>
  <si>
    <t>DeferredTaxAssets</t>
  </si>
  <si>
    <t>Total de activos no corrientes</t>
  </si>
  <si>
    <t>NoncurrentAssets</t>
  </si>
  <si>
    <t>Total de activos</t>
  </si>
  <si>
    <t>Assets</t>
  </si>
  <si>
    <t>Patrimonio y pasivos [sinopsis]</t>
  </si>
  <si>
    <t>EquityAndLiabilitiesAbstract</t>
  </si>
  <si>
    <t>Pasivos [sinopsis]</t>
  </si>
  <si>
    <t>LiabilitiesAbstract</t>
  </si>
  <si>
    <t>Pasivos corrientes [sinopsis]</t>
  </si>
  <si>
    <t>CurrentLiabilitiesAbstract</t>
  </si>
  <si>
    <t>Otros pasivos financieros corrientes</t>
  </si>
  <si>
    <t>OtherCurrentFinancialLiabilities</t>
  </si>
  <si>
    <t>Cuentas por pagar comerciales y otras cuentas por pagar</t>
  </si>
  <si>
    <t>TradeAndOtherCurrentPayables</t>
  </si>
  <si>
    <t>Cuentas por pagar a entidades relacionadas, corrientes</t>
  </si>
  <si>
    <t>CuentasPagarEntidadesRelacionadasCorrientes</t>
  </si>
  <si>
    <t>Otras provisiones a corto plazo</t>
  </si>
  <si>
    <t>OtherShorttermProvisions</t>
  </si>
  <si>
    <t>Pasivos por impuestos corrientes, corrientes</t>
  </si>
  <si>
    <t>CurrentTaxLiabilitiesCurrent</t>
  </si>
  <si>
    <t>Provisiones corrientes por beneficios a los empleados</t>
  </si>
  <si>
    <t>CurrentProvisionsForEmployeeBenefits</t>
  </si>
  <si>
    <t>Otros pasivos no financieros corrientes</t>
  </si>
  <si>
    <t>OtherCurrentNonfinancialLiabilities</t>
  </si>
  <si>
    <t>Total de pasivos corrientes distintos de los pasivos incluidos en grupos de activos para su disposición clasificados como mantenidos para la venta</t>
  </si>
  <si>
    <t>CurrentLiabilitiesOtherThanLiabilitiesIncludedInDisposalGroupsClassifiedAsHeldForSale</t>
  </si>
  <si>
    <t>Pasivos incluidos en grupos de activos para su disposición clasificados como mantenidos para la venta</t>
  </si>
  <si>
    <t>LiabilitiesIncludedInDisposalGroupsClassifiedAsHeldForSale</t>
  </si>
  <si>
    <t>Pasivos corrientes totales</t>
  </si>
  <si>
    <t>CurrentLiabilities</t>
  </si>
  <si>
    <t>Pasivos no corrientes [sinopsis]</t>
  </si>
  <si>
    <t>NoncurrentLiabilitiesAbstract</t>
  </si>
  <si>
    <t>Otros pasivos financieros no corrientes</t>
  </si>
  <si>
    <t>OtherNoncurrentFinancialLiabilities</t>
  </si>
  <si>
    <t>Cuentas por pagar no corrientes</t>
  </si>
  <si>
    <t>NoncurrentPayables</t>
  </si>
  <si>
    <t>Cuentas por pagar a entidades relacionadas, no corrientes</t>
  </si>
  <si>
    <t>CuentasPagarEntidadesRelacionadasNoCorrientes</t>
  </si>
  <si>
    <t>Otras provisiones a largo plazo</t>
  </si>
  <si>
    <t>OtherLongtermProvisions</t>
  </si>
  <si>
    <t>Pasivo por impuestos diferidos</t>
  </si>
  <si>
    <t>DeferredTaxLiabilities</t>
  </si>
  <si>
    <t>Pasivos por impuestos corrientes, no corrientes</t>
  </si>
  <si>
    <t>CurrentTaxLiabilitiesNoncurrent</t>
  </si>
  <si>
    <t>Provisiones no corrientes por beneficios a los empleados</t>
  </si>
  <si>
    <t>NoncurrentProvisionsForEmployeeBenefits</t>
  </si>
  <si>
    <t>Otros pasivos no financieros no corrientes</t>
  </si>
  <si>
    <t>OtherNoncurrentNonfinancialLiabilities</t>
  </si>
  <si>
    <t>Total de pasivos no corrientes</t>
  </si>
  <si>
    <t>NoncurrentLiabilities</t>
  </si>
  <si>
    <t>Total de pasivos</t>
  </si>
  <si>
    <t>Liabilities</t>
  </si>
  <si>
    <t>Patrimonio [sinopsis]</t>
  </si>
  <si>
    <t>EquityAbstract</t>
  </si>
  <si>
    <t>Capital emitido</t>
  </si>
  <si>
    <t>IssuedCapital</t>
  </si>
  <si>
    <t>Ganancias (pérdidas) acumuladas</t>
  </si>
  <si>
    <t>GananciaPerdidaAcumulada</t>
  </si>
  <si>
    <t>Prima de emisión</t>
  </si>
  <si>
    <t>SharePremium</t>
  </si>
  <si>
    <t>Acciones propias en cartera</t>
  </si>
  <si>
    <t>TreasuryShares</t>
  </si>
  <si>
    <t>Otras participaciones en el patrimonio</t>
  </si>
  <si>
    <t>OtherEquityInterest</t>
  </si>
  <si>
    <t>Otras reservas</t>
  </si>
  <si>
    <t>OtherReserves</t>
  </si>
  <si>
    <t>Patrimonio atribuible a los propietarios de la controladora</t>
  </si>
  <si>
    <t>EquityAttributableToOwnersOfParent</t>
  </si>
  <si>
    <t>Participaciones no controladoras</t>
  </si>
  <si>
    <t>NoncontrollingInterests</t>
  </si>
  <si>
    <t>Patrimonio total</t>
  </si>
  <si>
    <t>Equity</t>
  </si>
  <si>
    <t>Total de patrimonio y pasivos</t>
  </si>
  <si>
    <t>EquityAndLiabilities</t>
  </si>
  <si>
    <t>[310000] Estado del resultado, por función de gasto – Estados financieros consolidados</t>
  </si>
  <si>
    <t>[310001] Estado de Resultados Por Función Comprobación</t>
  </si>
  <si>
    <t>Calculation Structure # 2</t>
  </si>
  <si>
    <t>Estado de resultados [sinopsis]</t>
  </si>
  <si>
    <t>IncomeStatementAbstract</t>
  </si>
  <si>
    <t>Ganancia (pérdida) [sinopsis]</t>
  </si>
  <si>
    <t>ProfitLossAbstract</t>
  </si>
  <si>
    <t>Ingresos de actividades ordinarias</t>
  </si>
  <si>
    <t>Revenue</t>
  </si>
  <si>
    <t>Costo de ventas</t>
  </si>
  <si>
    <t>CostOfSales</t>
  </si>
  <si>
    <t>Ganancia bruta</t>
  </si>
  <si>
    <t>GrossProfit</t>
  </si>
  <si>
    <t>Otros ingresos</t>
  </si>
  <si>
    <t>OtherIncome</t>
  </si>
  <si>
    <t>Costos de distribución</t>
  </si>
  <si>
    <t>DistributionCosts</t>
  </si>
  <si>
    <t>Gastos de administración</t>
  </si>
  <si>
    <t>AdministrativeExpense</t>
  </si>
  <si>
    <t>Otros gastos, por función</t>
  </si>
  <si>
    <t>OtherExpenseByFunction</t>
  </si>
  <si>
    <t>Otras ganancias (pérdidas)</t>
  </si>
  <si>
    <t>OtherGainsLosses</t>
  </si>
  <si>
    <t>Ganancias (pérdidas) de actividades operacionales</t>
  </si>
  <si>
    <t>ProfitLossFromOperatingActivities</t>
  </si>
  <si>
    <t>Ganancias (pérdidas) que surgen de la baja en cuentas de activos financieros medidos al costo amortizado</t>
  </si>
  <si>
    <t>GainLossArisingFromDerecognitionOfFinancialAssetsMeasuredAtAmortisedCost</t>
  </si>
  <si>
    <t>Ingresos financieros</t>
  </si>
  <si>
    <t>FinanceIncome</t>
  </si>
  <si>
    <t>Costos financieros</t>
  </si>
  <si>
    <t>FinanceCosts</t>
  </si>
  <si>
    <t xml:space="preserve">Deterioro de valor de ganancias y reversión de pérdidas por deterioro de valor (pérdidas por deterioro de valor) determinado de acuerdo con la NIIF 9
</t>
  </si>
  <si>
    <t>ImpairmentLossImpairmentGainAndReversalOfImpairmentLossDeterminedInAccordanceWithIFRS9</t>
  </si>
  <si>
    <t>Participación en las ganancias (pérdidas) de asociadas y negocios conjuntos que se contabilicen utilizando el método de la participación</t>
  </si>
  <si>
    <t>ShareOfProfitLossOfAssociatesAndJointVenturesAccountedForUsingEquityMethod</t>
  </si>
  <si>
    <t>Diferencias de cambio</t>
  </si>
  <si>
    <t>DiferenciasCambio</t>
  </si>
  <si>
    <t>Resultados por unidades de reajuste</t>
  </si>
  <si>
    <t>ResultadosUnidadesReajuste</t>
  </si>
  <si>
    <t>Ganancias (pérdidas) que surgen de diferencias entre importes en libros anteriores y el valor razonable de activos financieros reclasificados como medidos al valor razonable</t>
  </si>
  <si>
    <t>GainsLossesArisingFromDifferenceBetweenPreviousCarryingAmountAndFairValueOfFinancialAssetsReclassifiedAsMeasuredAtFairValue</t>
  </si>
  <si>
    <t>Ganancia (pérdida) acumulada anteriormente reconocida en otro resultado integral que surge de la reclasificación de activos financieros de la categoría de medición de valor razonable con cambios en otro resultado integral a la de valor razonable con cambios en resultados</t>
  </si>
  <si>
    <t>CumulativeGainLossPreviouslyRecognisedInOtherComprehensiveIncomeArisingFromReclassificationOfFinancialAssetsOutOfFairValueThroughOtherComprehensiveIncomeIntoFairValueThroughProfitOrLossMeasurementCategory</t>
  </si>
  <si>
    <t>Ganancias (pérdidas) de cobertura por cobertura de un grupo de partidas con posiciones de riesgo compensadoras</t>
  </si>
  <si>
    <t>HedgingGainsLossesForHedgeOfGroupOfItemsWithOffsettingRiskPositions</t>
  </si>
  <si>
    <t>Ganancia (pérdida), antes de impuestos</t>
  </si>
  <si>
    <t>ProfitLossBeforeTax</t>
  </si>
  <si>
    <t>Gasto por impuestos a las ganancias</t>
  </si>
  <si>
    <t>IncomeTaxExpenseContinuingOperations</t>
  </si>
  <si>
    <t>Ganancia (pérdida) procedente de operaciones continuadas</t>
  </si>
  <si>
    <t>ProfitLossFromContinuingOperations</t>
  </si>
  <si>
    <t>Ganancia (pérdida) procedente de operaciones discontinuadas</t>
  </si>
  <si>
    <t>ProfitLossFromDiscontinuedOperations</t>
  </si>
  <si>
    <t>Ganancia (pérdida)</t>
  </si>
  <si>
    <t>ProfitLoss</t>
  </si>
  <si>
    <t>Ganancia (pérdida), atribuible a [sinopsis]</t>
  </si>
  <si>
    <t>ProfitLossAttributableToAbstract</t>
  </si>
  <si>
    <t>Ganancia (pérdida), atribuible a los propietarios de la controladora</t>
  </si>
  <si>
    <t>ProfitLossAttributableToOwnersOfParent</t>
  </si>
  <si>
    <t>Ganancia (pérdida), atribuible a participaciones no controladoras</t>
  </si>
  <si>
    <t>ProfitLossAttributableToNoncontrollingInterests</t>
  </si>
  <si>
    <t>Ganancias por acción [bloque de texto]</t>
  </si>
  <si>
    <t>EarningsPerShareExplanatory</t>
  </si>
  <si>
    <t>Ganancias por acción [sinopsis]</t>
  </si>
  <si>
    <t>EarningsPerShareAbstract</t>
  </si>
  <si>
    <t>Ganancia por acción básica [sinopsis]</t>
  </si>
  <si>
    <t>BasicEarningsPerShareAbstract</t>
  </si>
  <si>
    <t>Ganancia (pérdida) por acción básica en operaciones continuadas</t>
  </si>
  <si>
    <t>BasicEarningsLossPerShareFromContinuingOperations</t>
  </si>
  <si>
    <t>Ganancia (pérdida) por acción básica en operaciones discontinuadas</t>
  </si>
  <si>
    <t>BasicEarningsLossPerShareFromDiscontinuedOperations</t>
  </si>
  <si>
    <t>Ganancia (pérdida) por acción básica</t>
  </si>
  <si>
    <t>BasicEarningsLossPerShare</t>
  </si>
  <si>
    <t>Ganancias por acción diluidas [sinopsis]</t>
  </si>
  <si>
    <t>DilutedEarningsPerShareAbstract</t>
  </si>
  <si>
    <t>Ganancias (pérdida) diluida por acción procedente de operaciones continuadas</t>
  </si>
  <si>
    <t>DilutedEarningsLossPerShareFromContinuingOperations</t>
  </si>
  <si>
    <t>Ganancias (pérdida) diluida por acción procedentes de operaciones discontinuadas</t>
  </si>
  <si>
    <t>DilutedEarningsLossPerShareFromDiscontinuedOperations</t>
  </si>
  <si>
    <t>Ganancias (pérdida) diluida por acción</t>
  </si>
  <si>
    <t>DilutedEarningsLossPerShare</t>
  </si>
  <si>
    <t>End</t>
  </si>
  <si>
    <t>[510000] Estado de flujos de efectivo, método directo – Estados financieros consolidados</t>
  </si>
  <si>
    <t>Estado de flujos de efectivo [sinopsis]</t>
  </si>
  <si>
    <t>StatementOfCashFlowsAbstract</t>
  </si>
  <si>
    <t>Flujos de efectivo procedentes de (utilizados en) actividades de operación [sinopsis]</t>
  </si>
  <si>
    <t>CashFlowsFromUsedInOperatingActivitiesAbstract</t>
  </si>
  <si>
    <t>Clases de cobros por actividades de operación [sinopsis]</t>
  </si>
  <si>
    <t>ClassesOfCashReceiptsFromOperatingActivitiesAbstract</t>
  </si>
  <si>
    <t>Cobros procedentes de las ventas de bienes y prestación de servicios</t>
  </si>
  <si>
    <t>ReceiptsFromSalesOfGoodsAndRenderingOfServices</t>
  </si>
  <si>
    <t>Cobros procedentes de regalías, cuotas, comisiones y otros ingresos de actividades ordinarias</t>
  </si>
  <si>
    <t>ReceiptsFromRoyaltiesFeesCommissionsAndOtherRevenue</t>
  </si>
  <si>
    <t>Cobros derivados de contratos mantenidos para intermediación o para negociar con ellos</t>
  </si>
  <si>
    <t>ReceiptsFromContractsHeldForDealingOrTradingPurpose</t>
  </si>
  <si>
    <t>Cobros procedentes de primas y prestaciones, anualidades y otros beneficios de pólizas suscritas</t>
  </si>
  <si>
    <t>ReceiptsFromPremiumsAndClaimsAnnuitiesAndOtherPolicyBenefits</t>
  </si>
  <si>
    <t>Cobros derivados de arrendamiento y posterior venta de esos activos</t>
  </si>
  <si>
    <t>ReceiptsFromRentsAndSubsequentSalesOfSuchAssets</t>
  </si>
  <si>
    <t>Otros cobros por actividades de operación</t>
  </si>
  <si>
    <t>OtherCashReceiptsFromOperatingActivities</t>
  </si>
  <si>
    <t>Clases de pagos [sinopsis]</t>
  </si>
  <si>
    <t>ClassesOfCashPaymentsAbstract</t>
  </si>
  <si>
    <t>Pagos a proveedores por el suministro de bienes y servicios</t>
  </si>
  <si>
    <t>PaymentsToSuppliersForGoodsAndServices</t>
  </si>
  <si>
    <t>Pagos procedentes de contratos mantenidos para intermediación o para negociar</t>
  </si>
  <si>
    <t>PaymentsFromContractsHeldForDealingOrTradingPurpose</t>
  </si>
  <si>
    <t>Pagos a y por cuenta de los empleados</t>
  </si>
  <si>
    <t>PaymentsToAndOnBehalfOfEmployees</t>
  </si>
  <si>
    <t>Pagos por primas y prestaciones, anualidades y otras obligaciones derivadas de las pólizas suscritas</t>
  </si>
  <si>
    <t>PaymentsForPremiumsAndClaimsAnnuitiesAndOtherPolicyBenefits</t>
  </si>
  <si>
    <t>Pagos por fabricar o adquirir activos mantenidos para arrendar a otros y posteriormente para vender</t>
  </si>
  <si>
    <t>PaymentsToManufactureOrAcquireAssetsHeldForRentalToOthersAndSubsequentlyHeldForSale</t>
  </si>
  <si>
    <t>Otros pagos por actividades de operación</t>
  </si>
  <si>
    <t>OtherCashPaymentsFromOperatingActivities</t>
  </si>
  <si>
    <t>Flujos de efectivo netos procedentes de (utilizados en) operaciones</t>
  </si>
  <si>
    <t>CashFlowsFromUsedInOperations</t>
  </si>
  <si>
    <t>Dividendos pagados</t>
  </si>
  <si>
    <t>DividendsPaidClassifiedAsOperatingActivities</t>
  </si>
  <si>
    <t>Dividendos recibidos</t>
  </si>
  <si>
    <t>DividendsReceivedClassifiedAsOperatingActivities</t>
  </si>
  <si>
    <t>Intereses pagados</t>
  </si>
  <si>
    <t>InterestPaidClassifiedAsOperatingActivities</t>
  </si>
  <si>
    <t>Intereses recibidos</t>
  </si>
  <si>
    <t>InterestReceivedClassifiedAsOperatingActivities</t>
  </si>
  <si>
    <t>Impuestos a las ganancias pagados (reembolsados)</t>
  </si>
  <si>
    <t>IncomeTaxesPaidRefundClassifiedAsOperatingActivities</t>
  </si>
  <si>
    <t>Otras entradas (salidas) de efectivo</t>
  </si>
  <si>
    <t>OtherInflowsOutflowsOfCashClassifiedAsOperatingActivities</t>
  </si>
  <si>
    <t>Flujos de efectivo netos procedentes de (utilizados en) actividades de operación</t>
  </si>
  <si>
    <t>CashFlowsFromUsedInOperatingActivities</t>
  </si>
  <si>
    <t>Flujos de efectivo procedentes de (utilizados en) actividades de inversión [sinopsis]</t>
  </si>
  <si>
    <t>CashFlowsFromUsedInInvestingActivitiesAbstract</t>
  </si>
  <si>
    <t>Flujos de efectivo procedentes de la pérdida de control de subsidiarias u otros negocios</t>
  </si>
  <si>
    <t>CashFlowsFromLosingControlOfSubsidiariesOrOtherBusinessesClassifiedAsInvestingActivities</t>
  </si>
  <si>
    <t>Flujos de efectivo utilizados para obtener el control de subsidiarias u otros negocios</t>
  </si>
  <si>
    <t>CashFlowsUsedInObtainingControlOfSubsidiariesOrOtherBusinessesClassifiedAsInvestingActivities</t>
  </si>
  <si>
    <t>Flujos de efectivo utilizados en la compra de participaciones no controladoras</t>
  </si>
  <si>
    <t>FlujosEfectivoUtilizadosCompraParticipacionesNoControladorasActividadesInversion</t>
  </si>
  <si>
    <t>Otros cobros por la venta de patrimonio o instrumentos de deuda de otras entidades</t>
  </si>
  <si>
    <t>OtherCashReceiptsFromSalesOfEquityOrDebtInstrumentsOfOtherEntitiesClassifiedAsInvestingActivities</t>
  </si>
  <si>
    <t>Otros pagos para adquirir patrimonio o instrumentos de deuda de otras entidades</t>
  </si>
  <si>
    <t>OtherCashPaymentsToAcquireEquityOrDebtInstrumentsOfOtherEntitiesClassifiedAsInvestingActivities</t>
  </si>
  <si>
    <t>Otros cobros por la venta de participaciones en negocios conjuntos</t>
  </si>
  <si>
    <t>OtherCashReceiptsFromSalesOfInterestsInJointVenturesClassifiedAsInvestingActivities</t>
  </si>
  <si>
    <t>Otros pagos para adquirir participaciones en negocios conjuntos</t>
  </si>
  <si>
    <t>OtherCashPaymentsToAcquireInterestsInJointVenturesClassifiedAsInvestingActivities</t>
  </si>
  <si>
    <t>Préstamos a entidades relacionadas</t>
  </si>
  <si>
    <t>PrestamosEntidadesRelacionadasActividadesInversion</t>
  </si>
  <si>
    <t>Importes procedentes de la venta de propiedades, planta y equipo</t>
  </si>
  <si>
    <t>ProceedsFromSalesOfPropertyPlantAndEquipmentClassifiedAsInvestingActivities</t>
  </si>
  <si>
    <t>Compras de propiedades, planta y equipo</t>
  </si>
  <si>
    <t>PurchaseOfPropertyPlantAndEquipmentClassifiedAsInvestingActivities</t>
  </si>
  <si>
    <t>Importes procedentes de ventas de activos intangibles</t>
  </si>
  <si>
    <t>ProceedsFromSalesOfIntangibleAssetsClassifiedAsInvestingActivities</t>
  </si>
  <si>
    <t>Compras de activos intangibles</t>
  </si>
  <si>
    <t>PurchaseOfIntangibleAssetsClassifiedAsInvestingActivities</t>
  </si>
  <si>
    <t>Importes procedentes de otros activos a largo plazo</t>
  </si>
  <si>
    <t>ProceedsFromOtherLongtermAssetsClassifiedAsInvestingActivities</t>
  </si>
  <si>
    <t>Compras de otros activos a largo plazo</t>
  </si>
  <si>
    <t>PurchaseOfOtherLongtermAssetsClassifiedAsInvestingActivities</t>
  </si>
  <si>
    <t>Importes procedentes de subvenciones del gobierno</t>
  </si>
  <si>
    <t>ProceedsFromGovernmentGrantsClassifiedAsInvestingActivities</t>
  </si>
  <si>
    <t>Anticipos de efectivo y préstamos concedidos a terceros</t>
  </si>
  <si>
    <t>CashAdvancesAndLoansMadeToOtherPartiesClassifiedAsInvestingActivities</t>
  </si>
  <si>
    <t>Cobros procedentes del reembolso de anticipos y préstamos concedidos a terceros</t>
  </si>
  <si>
    <t>CashReceiptsFromRepaymentOfAdvancesAndLoansMadeToOtherPartiesClassifiedAsInvestingActivities</t>
  </si>
  <si>
    <t>Pagos derivados de contratos de futuro, a término, de opciones y de permuta financiera</t>
  </si>
  <si>
    <t>CashPaymentsForFutureContractsForwardContractsOptionContractsAndSwapContractsClassifiedAsInvestingActivities</t>
  </si>
  <si>
    <t>Cobros procedentes de contratos de futuro, a término, de opciones y de permuta financiera</t>
  </si>
  <si>
    <t>CashReceiptsFromFutureContractsForwardContractsOptionContractsAndSwapContractsClassifiedAsInvestingActivities</t>
  </si>
  <si>
    <t>Cobros a entidades relacionadas</t>
  </si>
  <si>
    <t>CobrosEntidadesRelacionadasActividadesInversion</t>
  </si>
  <si>
    <t>DividendsReceivedClassifiedAsInvestingActivities</t>
  </si>
  <si>
    <t>InterestPaidClassifiedAsInvestingActivities</t>
  </si>
  <si>
    <t>InterestReceivedClassifiedAsInvestingActivities</t>
  </si>
  <si>
    <t>IncomeTaxesPaidRefundClassifiedAsInvestingActivities</t>
  </si>
  <si>
    <t>Flujos de efectivo procedentes de la venta de participaciones no controladoras</t>
  </si>
  <si>
    <t>FlujosEfectivoProcedentesVentaParticipacionesNoControladorasActividadesInversion</t>
  </si>
  <si>
    <t>OtherInflowsOutflowsOfCashClassifiedAsInvestingActivities</t>
  </si>
  <si>
    <t>Flujos de efectivo netos procedentes de (utilizados en) actividades de inversión</t>
  </si>
  <si>
    <t>CashFlowsFromUsedInInvestingActivities</t>
  </si>
  <si>
    <t>Flujos de efectivo procedentes de (utilizados en) actividades de financiación [sinopsis]</t>
  </si>
  <si>
    <t>CashFlowsFromUsedInFinancingActivitiesAbstract</t>
  </si>
  <si>
    <t>Cobros por cambios en las participaciones en la propiedad de subsidiarias que no resulta en una pérdida de control</t>
  </si>
  <si>
    <t>ProceedsFromChangesInOwnershipInterestsInSubsidiaries</t>
  </si>
  <si>
    <t xml:space="preserve">Pagos por cambios en las participaciones en la propiedad en subsidiarias que no dan lugar a la pérdida de control
</t>
  </si>
  <si>
    <t>PaymentsFromChangesInOwnershipInterestsInSubsidiaries</t>
  </si>
  <si>
    <t>Importes procedentes de la emisión de acciones</t>
  </si>
  <si>
    <t>ProceedsFromIssuingShares</t>
  </si>
  <si>
    <t>Importes procedentes de la emisión de otros instrumentos de patrimonio</t>
  </si>
  <si>
    <t>ProceedsFromIssuingOtherEquityInstruments</t>
  </si>
  <si>
    <t>Pagos por adquirir o rescatar las acciones de la entidad</t>
  </si>
  <si>
    <t>PaymentsToAcquireOrRedeemEntitysShares</t>
  </si>
  <si>
    <t>Pagos por otras participaciones en el patrimonio</t>
  </si>
  <si>
    <t>PaymentsOfOtherEquityInstruments</t>
  </si>
  <si>
    <t>Importes procedentes de préstamos</t>
  </si>
  <si>
    <t>ProceedsFromBorrowingsClassifiedAsFinancingActivities</t>
  </si>
  <si>
    <t>Importes procedentes de préstamos de largo plazo</t>
  </si>
  <si>
    <t>ImportesPrestamosLargoPlazoActividadesFinanciacion</t>
  </si>
  <si>
    <t>Importes procedentes de préstamos de corto plazo</t>
  </si>
  <si>
    <t>ImportesPrestamosCortoPlazoActividadesFinanciacion</t>
  </si>
  <si>
    <t>Préstamos de entidades relacionadas</t>
  </si>
  <si>
    <t>PrestamosEntidadesRelacionadasActividadesFinanciacion</t>
  </si>
  <si>
    <t>Reembolsos de préstamos</t>
  </si>
  <si>
    <t>RepaymentsOfBorrowingsClassifiedAsFinancingActivities</t>
  </si>
  <si>
    <t>Pagos de pasivos por arrendamientos financieros</t>
  </si>
  <si>
    <t>PaymentsOfFinanceLeaseLiabilitiesClassifiedAsFinancingActivities</t>
  </si>
  <si>
    <t>Pagos de préstamos a entidades relacionadas</t>
  </si>
  <si>
    <t>PagosPrestamosEntidadesRelacionadasActividadesFinanciacion</t>
  </si>
  <si>
    <t>ProceedsFromGovernmentGrantsClassifiedAsFinancingActivities</t>
  </si>
  <si>
    <t>DividendsPaidClassifiedAsFinancingActivities</t>
  </si>
  <si>
    <t>InterestPaidClassifiedAsFinancingActivities</t>
  </si>
  <si>
    <t>IncomeTaxesPaidRefundClassifiedAsFinancingActivities</t>
  </si>
  <si>
    <t>OtherInflowsOutflowsOfCashClassifiedAsFinancingActivities</t>
  </si>
  <si>
    <t>Flujos de efectivo netos procedentes de (utilizados en) actividades de financiación</t>
  </si>
  <si>
    <t>CashFlowsFromUsedInFinancingActivities</t>
  </si>
  <si>
    <t>Incremento (disminución) neto de efectivo y equivalentes al efectivo, antes del efecto de los cambios en la tasa de cambio</t>
  </si>
  <si>
    <t>IncreaseDecreaseInCashAndCashEquivalentsBeforeEffectOfExchangeRateChanges</t>
  </si>
  <si>
    <t>Efectos de la variación en la tasa de cambio sobre el efectivo y equivalentes al efectivo [sinopsis]</t>
  </si>
  <si>
    <t>EffectOfExchangeRateChangesOnCashAndCashEquivalentsAbstract</t>
  </si>
  <si>
    <t>Efectos de la variación en la tasa de cambio sobre el efectivo y equivalentes al efectivo</t>
  </si>
  <si>
    <t>EffectOfExchangeRateChangesOnCashAndCashEquivalents</t>
  </si>
  <si>
    <t>Incremento (disminución) neto de efectivo y equivalentes al efectivo</t>
  </si>
  <si>
    <t>IncreaseDecreaseInCashAndCashEquivalents</t>
  </si>
  <si>
    <t>Efectivo y equivalentes al efectivo al principio del periodo</t>
  </si>
  <si>
    <t>EfectivoYEquivalentesEfectivoEstadoFlujo</t>
  </si>
  <si>
    <t>Efectivo y equivalentes al efectivo al final del periodo</t>
  </si>
  <si>
    <t>Negocios no aseguradora [sinopsis]</t>
  </si>
  <si>
    <t>ActivosNegociosNoAseguradoraPresentacion</t>
  </si>
  <si>
    <t>Total activos de negocios no aseguradora</t>
  </si>
  <si>
    <t>TotalActivosNegociosNoAseguradora</t>
  </si>
  <si>
    <t>Activos servicios aseguradora [sinopsis]</t>
  </si>
  <si>
    <t>ActivosServiciosAseguradoraPresentacion</t>
  </si>
  <si>
    <t>Efectivo y depósitos en bancos</t>
  </si>
  <si>
    <t>EfectivoDepositosBancos</t>
  </si>
  <si>
    <t>Inversiones financieras</t>
  </si>
  <si>
    <t>InversionesFinancierasActivosServiciosAseguradora</t>
  </si>
  <si>
    <t>Inversiones inmobiliarias y similares</t>
  </si>
  <si>
    <t>InversionesInmobiliariasYSimilaresActivosActivosServiciosAseguradora</t>
  </si>
  <si>
    <t>Inversiones cuenta unica de inversion</t>
  </si>
  <si>
    <t>InversionesCuentaUnicaInversionActivosServiciosAseguradora</t>
  </si>
  <si>
    <t>Contratos de derivados financieros</t>
  </si>
  <si>
    <t>ContratosDerivadosFinancierosActivosAseguradora</t>
  </si>
  <si>
    <t>Créditos y cuentas por cobrar a clientes</t>
  </si>
  <si>
    <t>Deudores por primas asegurados</t>
  </si>
  <si>
    <t>DeudoresPrimasAseguradosActivosServiciosAseguradora</t>
  </si>
  <si>
    <t>Deudores por reaseguros</t>
  </si>
  <si>
    <t>DeudoresReasegurosActivosServiciosAseguradora</t>
  </si>
  <si>
    <t>Inversiones en sociedades</t>
  </si>
  <si>
    <t>InversionesSociedadesAseguradora</t>
  </si>
  <si>
    <t>Intangibles</t>
  </si>
  <si>
    <t>IntangiblesAseguradora</t>
  </si>
  <si>
    <t>Activo fijo</t>
  </si>
  <si>
    <t>ActivoFijoAseguradora</t>
  </si>
  <si>
    <t>Impuestos corrientes</t>
  </si>
  <si>
    <t>ImpuestosCorrientesActivosAseguradora</t>
  </si>
  <si>
    <t>Impuestos diferidos</t>
  </si>
  <si>
    <t>ImpuestosDiferidosActivosAseguradora</t>
  </si>
  <si>
    <t>Otros activos</t>
  </si>
  <si>
    <t>OtrosActivosAseguradora</t>
  </si>
  <si>
    <t>Total activos servicios aseguradora</t>
  </si>
  <si>
    <t>TotalActivosServiciosAseguradora</t>
  </si>
  <si>
    <t>PasivosNegociosNoAseguradoraPresentacion</t>
  </si>
  <si>
    <t>Total pasivos de negocios no aseguradora</t>
  </si>
  <si>
    <t>TotalPasivosNegociosNoAseguradora</t>
  </si>
  <si>
    <t>Pasivos servicios aseguradora [sinopsis]</t>
  </si>
  <si>
    <t>PasivosServiciosAseguradoraPresentacion</t>
  </si>
  <si>
    <t>Reserva seguros previsionales</t>
  </si>
  <si>
    <t>ReservaSegurosPrevisionalesPasivosAseguradora</t>
  </si>
  <si>
    <t>Reserva seguros no previsionales</t>
  </si>
  <si>
    <t>ReservaSegurosNoPrevisionalesPasivosAseguradora</t>
  </si>
  <si>
    <t>Primas por pagar</t>
  </si>
  <si>
    <t>PrimasPagarPasivosAseguradora</t>
  </si>
  <si>
    <t>Obligaciones con bancos</t>
  </si>
  <si>
    <t>ObligacionesConBancos</t>
  </si>
  <si>
    <t>Otras obligaciones financieras</t>
  </si>
  <si>
    <t>OtrasObligacionesFinancierasAseguradora</t>
  </si>
  <si>
    <t>ImpuestosCorrientesPasivosAseguradora</t>
  </si>
  <si>
    <t>ImpuestosDiferidosPasivosAseguradora</t>
  </si>
  <si>
    <t>Provisiones</t>
  </si>
  <si>
    <t>ProvisionesAseguradora</t>
  </si>
  <si>
    <t>Otros pasivos</t>
  </si>
  <si>
    <t>OtrosPasivosAseguradora</t>
  </si>
  <si>
    <t>Total pasivos servicios aseguradora</t>
  </si>
  <si>
    <t>TotalPasivosServiciosAseguradora</t>
  </si>
  <si>
    <t>EstadoResultadosNegociosNoAseguradoraPresentacion</t>
  </si>
  <si>
    <t>Ganancia (pérdida) de negocios no aseguradora</t>
  </si>
  <si>
    <t>GananciaPerdidaNegociosNoAseguradora</t>
  </si>
  <si>
    <t>Servicios aseguradora [sinopsis]</t>
  </si>
  <si>
    <t>EstadoResultadosServiciosAseguradoraPresentacion</t>
  </si>
  <si>
    <t>Ingresos por intereses y reajustes</t>
  </si>
  <si>
    <t>IngresosPorInteresesYReajustes</t>
  </si>
  <si>
    <t>Gastos por intereses y reajustes</t>
  </si>
  <si>
    <t>GastosPorInteresesYReajustes</t>
  </si>
  <si>
    <t>Ingresos netos por intereses y reajustes</t>
  </si>
  <si>
    <t>IngresosNetosPorInteresesYReajustesAseguradora</t>
  </si>
  <si>
    <t>Prima retenida neta</t>
  </si>
  <si>
    <t>PrimaRetenidaNetaAseguradora</t>
  </si>
  <si>
    <t>Ajuste res.RRCC y Mat.de vida</t>
  </si>
  <si>
    <t>AjusteRRCCYMatVidaAseguradora</t>
  </si>
  <si>
    <t>Total ingreso explotacion aseguradora</t>
  </si>
  <si>
    <t>TotalIngresoExplotacionAseguradora</t>
  </si>
  <si>
    <t>Producto de inversiones</t>
  </si>
  <si>
    <t>ProductoInversionesAseguradora</t>
  </si>
  <si>
    <t>Costo de siniestros</t>
  </si>
  <si>
    <t>CostoSiniestrosAseguradora</t>
  </si>
  <si>
    <t>Costo de intermediacion</t>
  </si>
  <si>
    <t>CostoIntermediacionAseguradora</t>
  </si>
  <si>
    <t>Costo de administracion</t>
  </si>
  <si>
    <t>CostoAdministracionAseguradora</t>
  </si>
  <si>
    <t>Total costo explotacion aseguradora</t>
  </si>
  <si>
    <t>TotalCostoExplotacionAseguradora</t>
  </si>
  <si>
    <t>Remuneraciones y gastos del personal</t>
  </si>
  <si>
    <t>RemuneracionesGastosPersonalAseguradora</t>
  </si>
  <si>
    <t>Gastos de Administración</t>
  </si>
  <si>
    <t>GastosAdministracionAseguradora</t>
  </si>
  <si>
    <t>Depreciaciones y amortizaciones</t>
  </si>
  <si>
    <t>DepreciacionesAmortizacionesAseguradora</t>
  </si>
  <si>
    <t>Deterioros</t>
  </si>
  <si>
    <t>DeteriorosAseguradora</t>
  </si>
  <si>
    <t>Otros gastos operacionales</t>
  </si>
  <si>
    <t>OtrosGastosOperacionalesAseguradora</t>
  </si>
  <si>
    <t>Total gastos operacionales</t>
  </si>
  <si>
    <t>TotalGastosOperacionalesAseguradora</t>
  </si>
  <si>
    <t>Resultado operacional</t>
  </si>
  <si>
    <t>ResultadoOperacionalAseguradora</t>
  </si>
  <si>
    <t>Resultado por inversiones en sociedades</t>
  </si>
  <si>
    <t>ResultadoInversionesSociedadesAseguradora</t>
  </si>
  <si>
    <t>Corrección monetaria</t>
  </si>
  <si>
    <t>CorreccionMonetariaAseguradora</t>
  </si>
  <si>
    <t>Resultado antes de impuesto a la renta</t>
  </si>
  <si>
    <t>ResultadoAntesImpuestoARentaAseguradora</t>
  </si>
  <si>
    <t>Impuesto a la renta</t>
  </si>
  <si>
    <t>ImpuestoARentaAseguradora</t>
  </si>
  <si>
    <t>Resultado de operaciones continuas</t>
  </si>
  <si>
    <t>ResultadoOperacionesContinuasAseguradora</t>
  </si>
  <si>
    <t>Ganancia (Pérdida) de Operaciones Discontinuadas, Neta de Impuesto</t>
  </si>
  <si>
    <t>GananciaPerdidaOperacionesDiscontinuadasNetaDeImpuestoAseguradora</t>
  </si>
  <si>
    <t>Ganancia (Pérdida) de servicios aseguradora</t>
  </si>
  <si>
    <t>GananciaPerdidaServiciosAseguradora</t>
  </si>
  <si>
    <t>EstadoFlujosEfectivoActividadesOperacionNegociosNoAseguradoraPresentacion</t>
  </si>
  <si>
    <t>Subtotal flujos de efectivo netos procedentes de (utilizados en) actividades de operación de negocios no aseguradora</t>
  </si>
  <si>
    <t>FlujosEfectivoNetosUtilizadosEnActividadesOperacionServiciosNoAseguradora</t>
  </si>
  <si>
    <t>ServiciosAseguradorasOperacionesPresentacion</t>
  </si>
  <si>
    <t>Ingresos por primas de seguros y coaseguro</t>
  </si>
  <si>
    <t>IngresosPrimasSegurosYCoaseguroAseguradorasOperaciones</t>
  </si>
  <si>
    <t>Ingresos por siniestros reasegurados</t>
  </si>
  <si>
    <t>IngresosSiniestrosReaseguradosAseguradorasOperaciones</t>
  </si>
  <si>
    <t>Ingresos por comisiones reaseguro cedido</t>
  </si>
  <si>
    <t>IngresosComisionesReaseguroCedidoAseguradorasOperaciones</t>
  </si>
  <si>
    <t>Ingresos por activos financieros a valor razonable</t>
  </si>
  <si>
    <t>IngresosActivosFinancierosValorRazonableAseguradorasOperaciones</t>
  </si>
  <si>
    <t>Ingresos por activos financieros a costo amortizado</t>
  </si>
  <si>
    <t>IngresosActivosFinancierosCostoAmortizadoAseguradorasOperaciones</t>
  </si>
  <si>
    <t>InteresesRecibidosAseguradorasOperaciones</t>
  </si>
  <si>
    <t>Otros ingresos de la actividad aseguradora</t>
  </si>
  <si>
    <t>OtrosIngresosActividadAseguradoraOperaciones</t>
  </si>
  <si>
    <t>Préstamos y partidas por cobrar</t>
  </si>
  <si>
    <t>PrestamosYPartidasPorCobrarAseguradorasOperaciones</t>
  </si>
  <si>
    <t>Ingresos por impuestos</t>
  </si>
  <si>
    <t>IngresosImpuestosAseguradorasOperaciones</t>
  </si>
  <si>
    <t>Egresos por prestaciones seguro directo</t>
  </si>
  <si>
    <t>EgresosPrestacionesSeguroDirectoAseguradorasOperaciones</t>
  </si>
  <si>
    <t>Pago de rentas y siniestros</t>
  </si>
  <si>
    <t>PagoRentasSiniestrosAseguradorasOperaciones</t>
  </si>
  <si>
    <t>Egreso por intermediación de seguros directos</t>
  </si>
  <si>
    <t>EgresoIntermediacionSegurosDirectosAseguradorasOperaciones</t>
  </si>
  <si>
    <t>Egreso por comisiones reaseguros</t>
  </si>
  <si>
    <t>EgresoComisionesReasegurosAseguradorasOperaciones</t>
  </si>
  <si>
    <t>Egresos por activos financieros a valor razonable</t>
  </si>
  <si>
    <t>EgresosActivosFinancierosValorRazonableAseguradorasOperaciones</t>
  </si>
  <si>
    <t>Egresos por activos financieros a costo amortizado</t>
  </si>
  <si>
    <t>EgresosActivosFinancierosCostoAmortizadoAseguradorasOperaciones</t>
  </si>
  <si>
    <t>Dividendo pagados</t>
  </si>
  <si>
    <t>DividendoPagadosAseguradorasOperaciones</t>
  </si>
  <si>
    <t>Otros egresos de la actividad aseguradora</t>
  </si>
  <si>
    <t>OtrosEgresosActividadAseguradoraOperaciones</t>
  </si>
  <si>
    <t>Egresos de otras actividades</t>
  </si>
  <si>
    <t>EgresosOtrasActividadesAseguradorasOperaciones</t>
  </si>
  <si>
    <t>Egresos por impuestos</t>
  </si>
  <si>
    <t>EgresosImpuestosAseguradorasOperaciones</t>
  </si>
  <si>
    <t>Otros</t>
  </si>
  <si>
    <t>OtrosActividadesOperacionServiciosAseguradora</t>
  </si>
  <si>
    <t>Subtotal flujos de efectivo netos procedentes de (utilizados en) actividades de la operación servicios aseguradora</t>
  </si>
  <si>
    <t>SubtotalFlujosEfectivoNetosProcedentesUtilizadosActividadesOperacionServiciosAseguradora</t>
  </si>
  <si>
    <t>EstadoFlujosEfectivoActividadesInversionNegociosNoAseguradoraPresentacion</t>
  </si>
  <si>
    <t>Subtotal flujos de efectivo netos procedentes de (utilizados en) actividades de inversión de negocios no aseguradora</t>
  </si>
  <si>
    <t>SubtotalFlujosEfectivoNetosProcedentesUtilizadosActividadesInversionNegociosNoAseguradora</t>
  </si>
  <si>
    <t>ServiciosAseguradoraInversionAseguradoraInversionPresentacion</t>
  </si>
  <si>
    <t>(Aumento) disminución neta de instrumentos de inversiónes financieras</t>
  </si>
  <si>
    <t>AumentoDisminucionNetaInstrumentosInversionesFinancieras</t>
  </si>
  <si>
    <t>Ingresos por propiedades de inversión</t>
  </si>
  <si>
    <t>IngresosPropiedadesInversionAseguradoraInversion</t>
  </si>
  <si>
    <t>Ingresos Plantas y equipos</t>
  </si>
  <si>
    <t>IngresosPlantasEquiposAseguradoraInversion</t>
  </si>
  <si>
    <t>Ingresos activos Intangibles</t>
  </si>
  <si>
    <t>IngresosActivosIntangiblesAseguradoraInversion</t>
  </si>
  <si>
    <t>Ingresos Instrumentos financieros no operacionales</t>
  </si>
  <si>
    <t>IngresosInstrumentosFinancierosNoOperacionalesAseguradoraInversion</t>
  </si>
  <si>
    <t>Ingresos por participación en entidades del grupo y filiales</t>
  </si>
  <si>
    <t>IngresosParticipacionEntidadesGrupoYFilialesAseguradoraInversion</t>
  </si>
  <si>
    <t>Otros ingresos relacionados con actividades de inversión</t>
  </si>
  <si>
    <t>OtrosIngresosRelacionadosConActividadesInversionAseguradoraInversion</t>
  </si>
  <si>
    <t>Egresos por propiedades de inversión</t>
  </si>
  <si>
    <t>EgresosPropiedadesInversionAseguradoraInversion</t>
  </si>
  <si>
    <t>Egresos Plantas y equipos</t>
  </si>
  <si>
    <t>EgresosPlantasYEquiposAseguradoraInversion</t>
  </si>
  <si>
    <t>Egresos activos Intangibles</t>
  </si>
  <si>
    <t>EgresosActivosIntangiblesAseguradoraInversion</t>
  </si>
  <si>
    <t>Egresos Instrumentos financieros no operacionales</t>
  </si>
  <si>
    <t>EgresosInstrumentosFinancierosNoOperacionalesAseguradoraInversion</t>
  </si>
  <si>
    <t>Egresos por participación en entidades del grupo y filiales</t>
  </si>
  <si>
    <t>EgresosParticipacionEntidadesGrupoYFilialesAseguradoraInversion</t>
  </si>
  <si>
    <t>Otros egresos relacionados con actividades de inversión</t>
  </si>
  <si>
    <t>OtrosEgresosRelacionadosActividadesInversionAseguradora</t>
  </si>
  <si>
    <t>Subtotal flujos de efectivo netos procedentes de (utilizados en) actividades de inversión servicios aseguradora</t>
  </si>
  <si>
    <t>SubtotalFlujosEfectivoNetosProcedentesUtilizadosActividadesInversionServiciosAseguradora</t>
  </si>
  <si>
    <t>EstadoFlujosEfectivoActividadesFinanciacionNegociosNoAseguradaPresentacion</t>
  </si>
  <si>
    <t>Subtotal flujos de efectivo netos procedentes de (utilizados en) actividades de financiación de negocios no aseguradora</t>
  </si>
  <si>
    <t>SubtotalFlujosEfectivoNetosProcedentesUtilizadosActividadesFinanciacionNegociosNoAseguradora</t>
  </si>
  <si>
    <t>ServiciosAseguradoraFinanciacionPresentacion</t>
  </si>
  <si>
    <t>Emisión de instrumentos de patrimonio</t>
  </si>
  <si>
    <t>EmisionInstrumentosPatrimonioAseguradoraFinanciacion</t>
  </si>
  <si>
    <t>Préstamos bancarios o relacionados</t>
  </si>
  <si>
    <t>PrestamosBancariosORelacionadosAseguradoraFinanciacion</t>
  </si>
  <si>
    <t>Aumentos de capital</t>
  </si>
  <si>
    <t>AumentosCapitalAseguradoraFinanciacion</t>
  </si>
  <si>
    <t>otros ingresos relacionados con actividades de financiamiento</t>
  </si>
  <si>
    <t>OtrosIngresosRelacionadosActividadesFinanciamientoAseguradora</t>
  </si>
  <si>
    <t>Dividendos a los accionistas</t>
  </si>
  <si>
    <t>DividendosAccionistasAseguradoraFinanciacion</t>
  </si>
  <si>
    <t>InteresesPagadosAseguradoraFinanciacion</t>
  </si>
  <si>
    <t>Disminución de capital</t>
  </si>
  <si>
    <t>DisminucionCapitalAseguradoraFinanciacion</t>
  </si>
  <si>
    <t>Otros egresos relacionados con actividades de financiamiento</t>
  </si>
  <si>
    <t>OtrosEgresosRelacionadosActividadesFinanciamientoAseguradoraFinanciacion</t>
  </si>
  <si>
    <t>OtrosFinanciacionServiciosAseguradora</t>
  </si>
  <si>
    <t>Subtotal flujos de efectivo netos procedentes de (utilizados en) actividades de financiación servicios aseguradora</t>
  </si>
  <si>
    <t>SubtotalFlujosEfectivoNetosProcedentesUtilizadosActividadesFinanciacionServiciosAseguradora</t>
  </si>
  <si>
    <t>prefijo</t>
  </si>
  <si>
    <t>nombre</t>
  </si>
  <si>
    <t>id</t>
  </si>
  <si>
    <t>tipo</t>
  </si>
  <si>
    <t>grupo</t>
  </si>
  <si>
    <t>balance</t>
  </si>
  <si>
    <t>periodo</t>
  </si>
  <si>
    <t>abstracto</t>
  </si>
  <si>
    <t>nillable</t>
  </si>
  <si>
    <t>etiqueta normal</t>
  </si>
  <si>
    <t>periodStartLabel</t>
  </si>
  <si>
    <t>periodEndLabel</t>
  </si>
  <si>
    <t>restatedLabel</t>
  </si>
  <si>
    <t>xbrli:stringItemType</t>
  </si>
  <si>
    <t>xbrli:item</t>
  </si>
  <si>
    <t>instant</t>
  </si>
  <si>
    <t>true</t>
  </si>
  <si>
    <t>xbrli:monetaryItemType</t>
  </si>
  <si>
    <t>debit</t>
  </si>
  <si>
    <t>false</t>
  </si>
  <si>
    <t>credit</t>
  </si>
  <si>
    <t>duration</t>
  </si>
  <si>
    <t xml:space="preserve">Negocios no aseguradora [sinopsis] </t>
  </si>
  <si>
    <t xml:space="preserve">
*******************************************************************************************
Copyright © 2017 Superintendencia de Valores y Seguros de Chile (SVS) 
This material is copyright of the SVS Chile and all rights are reserved. 
No part of this material may be translated, reprinted, reproduced or utilised in 
any form or manner that is not expressly permitted by the SVS Chile 
IP Policy see: http://www.svs.cl/sitio/pop/politica.html
*******************************************************************************************
</t>
  </si>
  <si>
    <t>http://www.svs.cl/cl/fr/ci/2017-01-03/cl-ci_mc_2016-03-31_role-105000</t>
  </si>
  <si>
    <t>cl-ci_mc/cl-ci_mc_2016-03-31_role-105000.xsd</t>
  </si>
  <si>
    <t>http://xbrl.ifrs.org/role/ifrs/ifrs_14_2015-03-11_role-824500</t>
  </si>
  <si>
    <t xml:space="preserve">  </t>
  </si>
  <si>
    <t>ROL NUEVO</t>
  </si>
  <si>
    <t>http://www.svs.cl/cl/fr/ci/2017-01-03/full_ifrs-dim_2016-03-31</t>
  </si>
  <si>
    <t>http://www.svs.cl/cl/fr/ci/2017-01-03/cl-ci_sic-29_2016-03-31_role-832900</t>
  </si>
  <si>
    <t>http://www.svs.cl/cl/fr/ci/2017-01-03/cl-ci_sic-27_2016-03-31_role-832800</t>
  </si>
  <si>
    <t>http://www.svs.cl/cl/fr/ci/2017-01-03/cl-ci_circ-1901_2008-10-30_role-872000</t>
  </si>
  <si>
    <t>http://www.svs.cl/cl/fr/ci/2017-01-03/cl-ci_circ-1901_2008-10-30_role-890000</t>
  </si>
  <si>
    <t>http://www.svs.cl/cl/fr/ci/2017-01-03/cl-ci_cl-cp_2017-01-03_role-822400</t>
  </si>
  <si>
    <t>http://www.svs.cl/cl/fr/ci/2017-01-03/cl-ci_cl-cp_2017-01-03_role-822410</t>
  </si>
  <si>
    <t>http://www.svs.cl/cl/fr/ci/2017-01-03/cl-ci_cl-cp_2017-01-03_role-822450</t>
  </si>
  <si>
    <t>http://www.svs.cl/cl/fr/ci/2017-01-03/cl-ci_cl-cp_2017-01-03_role-873000</t>
  </si>
  <si>
    <t>http://www.svs.cl/cl/fr/ci/2017-01-03/cl-ci_cl-cp_2017-01-03_role-874000</t>
  </si>
  <si>
    <t>http://www.svs.cl/cl/fr/ci/2017-01-03/cl-ci_cl-cp_2017-01-03_role-875000</t>
  </si>
  <si>
    <t>http://www.svs.cl/cl/fr/ci/2017-01-03/cl-ci_ias-1_2016-03-31_role-110000</t>
  </si>
  <si>
    <t>http://www.svs.cl/cl/fr/ci/2017-01-03/cl-ci_ias-1_2016-03-31_role-420000</t>
  </si>
  <si>
    <t>http://www.svs.cl/cl/fr/ci/2017-01-03/cl-ci_ias-1_2016-03-31_role-610000</t>
  </si>
  <si>
    <t>http://www.svs.cl/cl/fr/ci/2017-01-03/cl-ci_ias-1_2016-03-31_role-800100</t>
  </si>
  <si>
    <t>http://www.svs.cl/cl/fr/ci/2017-01-03/cl-ci_ias-1_2016-03-31_role-800200</t>
  </si>
  <si>
    <t>http://www.svs.cl/cl/fr/ci/2017-01-03/cl-ci_ias-1_2016-03-31_role-800500</t>
  </si>
  <si>
    <t>http://www.svs.cl/cl/fr/ci/2017-01-03/cl-ci_ias-1_2016-03-31_role-800600</t>
  </si>
  <si>
    <t>http://www.svs.cl/cl/fr/ci/2017-01-03/cl-ci_ias-1_2016-03-31_role-810000</t>
  </si>
  <si>
    <t>http://www.svs.cl/cl/fr/ci/2017-01-03/cl-ci_ias-1_2016-03-31_role-861000</t>
  </si>
  <si>
    <t>http://www.svs.cl/cl/fr/ci/2017-01-03/cl-ci_ias-1_2016-03-31_role-861200</t>
  </si>
  <si>
    <t>http://www.svs.cl/cl/fr/ci/2017-01-03/cl-ci_ias-1_2016-03-31_role-880000</t>
  </si>
  <si>
    <t>http://www.svs.cl/cl/fr/ci/2017-01-03/cl-ci_ias-10_2016-03-31_role-815000</t>
  </si>
  <si>
    <t>http://www.svs.cl/cl/fr/ci/2017-01-03/cl-ci_ias-11_2016-03-31_role-831710</t>
  </si>
  <si>
    <t>http://www.svs.cl/cl/fr/ci/2017-01-03/cl-ci_ias-12_2016-03-31_role-835110</t>
  </si>
  <si>
    <t>http://www.svs.cl/cl/fr/ci/2017-01-03/cl-ci_ias-16_2016-03-31_role-822100</t>
  </si>
  <si>
    <t>http://www.svs.cl/cl/fr/ci/2017-01-03/cl-ci_ias-17_2016-03-31_role-832600</t>
  </si>
  <si>
    <t>http://www.svs.cl/cl/fr/ci/2017-01-03/cl-ci_ias-18_2016-03-31_role-831110</t>
  </si>
  <si>
    <t>http://www.svs.cl/cl/fr/ci/2017-01-03/cl-ci_ias-19_2016-03-31_role-834480</t>
  </si>
  <si>
    <t>http://www.svs.cl/cl/fr/ci/2017-01-03/cl-ci_ias-2_2016-03-31_role-826380</t>
  </si>
  <si>
    <t>http://www.svs.cl/cl/fr/ci/2017-01-03/cl-ci_ias-20_2016-03-31_role-831400</t>
  </si>
  <si>
    <t>http://www.svs.cl/cl/fr/ci/2017-01-03/cl-ci_ias-21_2016-03-31_role-842000</t>
  </si>
  <si>
    <t>http://www.svs.cl/cl/fr/ci/2017-01-03/cl-ci_ias-23_2016-03-31_role-836200</t>
  </si>
  <si>
    <t>http://www.svs.cl/cl/fr/ci/2017-01-03/cl-ci_ias-24_2016-03-31_role-818000</t>
  </si>
  <si>
    <t>http://www.svs.cl/cl/fr/ci/2017-01-03/cl-ci_ias-33_2016-03-31_role-838000</t>
  </si>
  <si>
    <t>http://www.svs.cl/cl/fr/ci/2017-01-03/cl-ci_ias-36_2016-03-31_role-832410</t>
  </si>
  <si>
    <t>http://www.svs.cl/cl/fr/ci/2017-01-03/cl-ci_ias-37_2016-03-31_role-827570</t>
  </si>
  <si>
    <t>http://www.svs.cl/cl/fr/ci/2017-01-03/cl-ci_ias-38_2016-03-31_role-823180</t>
  </si>
  <si>
    <t>http://www.svs.cl/cl/fr/ci/2017-01-03/cl-ci_ias-40_2016-03-31_role-825100</t>
  </si>
  <si>
    <t>http://www.svs.cl/cl/fr/ci/2017-01-03/cl-ci_ias-41_2016-03-31_role-824180</t>
  </si>
  <si>
    <t>http://www.svs.cl/cl/fr/ci/2017-01-03/cl-ci_ias-7_2016-03-31_role-851100</t>
  </si>
  <si>
    <t>http://www.svs.cl/cl/fr/ci/2017-01-03/cl-ci_ias-8_2016-03-31_role-811000</t>
  </si>
  <si>
    <t>http://www.svs.cl/cl/fr/ci/2017-01-03/cl-ci_ifrs-12_2016-03-31_role-825700</t>
  </si>
  <si>
    <t>http://www.svs.cl/cl/fr/ci/2017-01-03/cl-ci_ifrs-13_2016-03-31_role-823000</t>
  </si>
  <si>
    <t>http://www.svs.cl/cl/fr/ci/2017-01-03/cl-ci_ifrs-15_2016-03-31_role-831150</t>
  </si>
  <si>
    <t>http://www.svs.cl/cl/fr/ci/2017-01-03/cl-ci_ifrs-16_2016-03-31_role-832610</t>
  </si>
  <si>
    <t>http://www.svs.cl/cl/fr/ci/2017-01-03/cl-ci_ifrs-2_2016-03-31_role-834120</t>
  </si>
  <si>
    <t>http://www.svs.cl/cl/fr/ci/2017-01-03/cl-ci_ifrs-3_2016-03-31_role-817000</t>
  </si>
  <si>
    <t>http://www.svs.cl/cl/fr/ci/2017-01-03/cl-ci_ifrs-3_2016-03-31_role-817100</t>
  </si>
  <si>
    <t>http://www.svs.cl/cl/fr/ci/2017-01-03/cl-ci_ifrs-5_2016-03-31_role-825900</t>
  </si>
  <si>
    <t>http://www.svs.cl/cl/fr/ci/2017-01-03/cl-ci_ifrs-6_2016-03-31_role-822200</t>
  </si>
  <si>
    <t>http://www.svs.cl/cl/fr/ci/2017-01-03/cl-ci_ifrs-8_2016-03-31_role-871100</t>
  </si>
  <si>
    <t>CreditosYCuentasCobrarAClientesAseguradora</t>
  </si>
  <si>
    <t>OtrosActividadesInversionServiciosAseguradora</t>
  </si>
  <si>
    <t>Pagos de pasivos por arrendamientos</t>
  </si>
  <si>
    <t>PaymentsOfLeaseLiabilitiesClassifiedAsFinancingActivities</t>
  </si>
  <si>
    <t>Nuevo elemento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</si>
</sst>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yyyy\-mm\-dd"/>
  </numFmts>
  <fonts count="32">
    <font>
      <sz val="11"/>
      <color theme="1"/>
      <name val="Calibri"/>
      <family val="2"/>
      <scheme val="minor"/>
    </font>
    <font>
      <sz val="11"/>
      <color theme="1"/>
      <name val="Calibri"/>
      <family val="2"/>
      <scheme val="minor"/>
    </font>
    <font>
      <sz val="11"/>
      <color theme="0"/>
      <name val="Calibri"/>
      <family val="2"/>
      <scheme val="minor"/>
    </font>
    <font>
      <sz val="8"/>
      <name val="ＭＳ Ｐゴシック"/>
      <family val="3"/>
      <charset val="128"/>
    </font>
    <font>
      <sz val="8"/>
      <name val="Courier New"/>
      <family val="3"/>
    </font>
    <font>
      <sz val="8"/>
      <name val="Verdana"/>
      <family val="2"/>
    </font>
    <font>
      <sz val="8"/>
      <color indexed="9"/>
      <name val="Verdana"/>
      <family val="2"/>
    </font>
    <font>
      <sz val="8"/>
      <name val="Arial"/>
      <family val="2"/>
      <charset val="238"/>
    </font>
    <font>
      <sz val="11"/>
      <color rgb="FF0070C0"/>
      <name val="Calibri"/>
      <family val="2"/>
      <scheme val="minor"/>
    </font>
    <font>
      <sz val="8"/>
      <color rgb="FF0070C0"/>
      <name val="Verdana"/>
      <family val="2"/>
    </font>
    <font>
      <sz val="8"/>
      <color indexed="8"/>
      <name val="Verdana"/>
      <family val="2"/>
    </font>
    <font>
      <sz val="8"/>
      <name val="Arial"/>
      <family val="2"/>
    </font>
    <font>
      <sz val="8"/>
      <color rgb="FF0070C0"/>
      <name val="Arial"/>
      <family val="2"/>
      <charset val="238"/>
    </font>
    <font>
      <sz val="8"/>
      <color indexed="10"/>
      <name val="Arial"/>
      <family val="2"/>
      <charset val="238"/>
    </font>
    <font>
      <sz val="8"/>
      <color theme="1"/>
      <name val="Calibri"/>
      <family val="2"/>
      <scheme val="minor"/>
    </font>
    <font>
      <sz val="8"/>
      <color rgb="FF0070C0"/>
      <name val="Calibri"/>
      <family val="2"/>
      <scheme val="minor"/>
    </font>
    <font>
      <sz val="8"/>
      <name val="Calibri"/>
      <family val="2"/>
      <scheme val="minor"/>
    </font>
    <font>
      <sz val="11"/>
      <color rgb="FFFFFFFF"/>
      <name val="Calibri"/>
      <family val="2"/>
      <scheme val="minor"/>
    </font>
    <font>
      <sz val="10"/>
      <color theme="1"/>
      <name val="Calibri"/>
      <family val="2"/>
      <scheme val="minor"/>
    </font>
    <font>
      <sz val="10"/>
      <name val="Arial"/>
      <family val="2"/>
    </font>
    <font>
      <sz val="8"/>
      <color rgb="FFFF0000"/>
      <name val="Verdana"/>
      <family val="2"/>
    </font>
    <font>
      <sz val="10"/>
      <name val="Verdana"/>
      <family val="2"/>
    </font>
    <font>
      <b/>
      <sz val="8"/>
      <name val="Verdana"/>
      <family val="2"/>
    </font>
    <font>
      <sz val="8"/>
      <name val="Times New Roman"/>
      <family val="1"/>
    </font>
    <font>
      <sz val="9"/>
      <name val="Verdana"/>
      <family val="2"/>
    </font>
    <font>
      <b/>
      <sz val="8"/>
      <name val="Times New Roman"/>
      <family val="1"/>
    </font>
    <font>
      <sz val="11"/>
      <color rgb="FFFF0000"/>
      <name val="Calibri"/>
      <family val="2"/>
      <scheme val="minor"/>
    </font>
    <font>
      <u/>
      <sz val="11"/>
      <color theme="10"/>
      <name val="Calibri"/>
      <family val="2"/>
      <scheme val="minor"/>
    </font>
    <font>
      <sz val="8"/>
      <color indexed="8"/>
      <name val="Calibri"/>
      <family val="2"/>
      <scheme val="minor"/>
    </font>
    <font>
      <sz val="9"/>
      <color theme="4" tint="0.59999389629810485"/>
      <name val="Verdana"/>
      <family val="2"/>
    </font>
    <font>
      <sz val="8"/>
      <color rgb="FFFF0000"/>
      <name val="Calibri"/>
      <family val="2"/>
      <scheme val="minor"/>
    </font>
    <font>
      <b/>
      <sz val="9"/>
      <name val="Verdana"/>
      <family val="2"/>
    </font>
  </fonts>
  <fills count="14">
    <fill>
      <patternFill patternType="none"/>
    </fill>
    <fill>
      <patternFill patternType="gray125"/>
    </fill>
    <fill>
      <patternFill patternType="solid">
        <fgColor theme="4" tint="0.59999389629810485"/>
        <bgColor indexed="65"/>
      </patternFill>
    </fill>
    <fill>
      <patternFill patternType="solid">
        <fgColor rgb="FFFF0000"/>
        <bgColor indexed="64"/>
      </patternFill>
    </fill>
    <fill>
      <patternFill patternType="solid">
        <fgColor indexed="30"/>
        <bgColor indexed="64"/>
      </patternFill>
    </fill>
    <fill>
      <patternFill patternType="solid">
        <fgColor indexed="43"/>
        <bgColor indexed="64"/>
      </patternFill>
    </fill>
    <fill>
      <patternFill patternType="solid">
        <fgColor indexed="13"/>
        <bgColor indexed="64"/>
      </patternFill>
    </fill>
    <fill>
      <patternFill patternType="solid">
        <fgColor theme="0" tint="-4.9989318521683403E-2"/>
        <bgColor indexed="64"/>
      </patternFill>
    </fill>
    <fill>
      <patternFill patternType="solid">
        <fgColor rgb="FF6495ED"/>
        <bgColor indexed="64"/>
      </patternFill>
    </fill>
    <fill>
      <patternFill patternType="solid">
        <fgColor theme="3" tint="0.79998168889431442"/>
        <bgColor indexed="64"/>
      </patternFill>
    </fill>
    <fill>
      <patternFill patternType="solid">
        <fgColor rgb="FFF0F8FF"/>
        <bgColor indexed="64"/>
      </patternFill>
    </fill>
    <fill>
      <patternFill patternType="solid">
        <fgColor theme="4" tint="0.79998168889431442"/>
        <bgColor indexed="64"/>
      </patternFill>
    </fill>
    <fill>
      <patternFill patternType="solid">
        <fgColor rgb="FFFFFF00"/>
        <bgColor indexed="64"/>
      </patternFill>
    </fill>
    <fill>
      <patternFill patternType="solid">
        <fgColor indexed="27"/>
        <bgColor indexed="64"/>
      </patternFill>
    </fill>
  </fills>
  <borders count="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s>
  <cellStyleXfs count="6">
    <xf numFmtId="0" fontId="0" fillId="0" borderId="0"/>
    <xf numFmtId="0" fontId="1" fillId="2" borderId="0" applyNumberFormat="0" applyBorder="0" applyAlignment="0" applyProtection="0"/>
    <xf numFmtId="0" fontId="3" fillId="0" borderId="0" applyNumberFormat="0" applyFill="0" applyBorder="0">
      <alignment vertical="center"/>
    </xf>
    <xf numFmtId="0" fontId="19" fillId="0" borderId="0"/>
    <xf numFmtId="0" fontId="3" fillId="0" borderId="0" applyNumberFormat="0" applyFill="0" applyBorder="0">
      <alignment vertical="center"/>
    </xf>
    <xf numFmtId="0" fontId="27" fillId="0" borderId="0" applyNumberFormat="0" applyFill="0" applyBorder="0" applyAlignment="0" applyProtection="0"/>
  </cellStyleXfs>
  <cellXfs count="155">
    <xf numFmtId="0" fontId="0" fillId="0" borderId="0" xfId="0"/>
    <xf numFmtId="0" fontId="4" fillId="0" borderId="0" xfId="2" applyFont="1" applyAlignment="1">
      <alignment vertical="center" wrapText="1"/>
    </xf>
    <xf numFmtId="0" fontId="5" fillId="0" borderId="0" xfId="0" applyFont="1" applyFill="1" applyBorder="1" applyAlignment="1">
      <alignment vertical="center"/>
    </xf>
    <xf numFmtId="164" fontId="5" fillId="0" borderId="0" xfId="0" applyNumberFormat="1" applyFont="1" applyAlignment="1">
      <alignment vertical="center"/>
    </xf>
    <xf numFmtId="0" fontId="2" fillId="3" borderId="0" xfId="0" applyFont="1" applyFill="1"/>
    <xf numFmtId="0" fontId="6" fillId="4" borderId="1" xfId="0" applyFont="1" applyFill="1" applyBorder="1" applyAlignment="1">
      <alignment vertical="center"/>
    </xf>
    <xf numFmtId="0" fontId="6" fillId="4" borderId="2" xfId="1" applyFont="1" applyFill="1" applyBorder="1" applyAlignment="1">
      <alignment vertical="center"/>
    </xf>
    <xf numFmtId="0" fontId="6" fillId="4" borderId="3" xfId="0" applyFont="1" applyFill="1" applyBorder="1" applyAlignment="1">
      <alignment vertical="center"/>
    </xf>
    <xf numFmtId="0" fontId="5" fillId="0" borderId="0" xfId="0" applyFont="1" applyAlignment="1">
      <alignment vertical="center"/>
    </xf>
    <xf numFmtId="0" fontId="5" fillId="0" borderId="0" xfId="0" quotePrefix="1" applyFont="1" applyAlignment="1">
      <alignment vertical="center"/>
    </xf>
    <xf numFmtId="0" fontId="5" fillId="0" borderId="0" xfId="0" applyFont="1" applyBorder="1" applyAlignment="1">
      <alignment vertical="center"/>
    </xf>
    <xf numFmtId="0" fontId="7" fillId="0" borderId="0" xfId="0" applyFont="1" applyBorder="1" applyAlignment="1">
      <alignment vertical="center"/>
    </xf>
    <xf numFmtId="0" fontId="5" fillId="5" borderId="0" xfId="0" applyFont="1" applyFill="1" applyBorder="1" applyAlignment="1">
      <alignment vertical="center"/>
    </xf>
    <xf numFmtId="0" fontId="8" fillId="5" borderId="0" xfId="0" applyFont="1" applyFill="1" applyBorder="1" applyAlignment="1">
      <alignment vertical="center"/>
    </xf>
    <xf numFmtId="0" fontId="9" fillId="5" borderId="0" xfId="1" applyFont="1" applyFill="1" applyBorder="1" applyAlignment="1">
      <alignment vertical="center"/>
    </xf>
    <xf numFmtId="0" fontId="9" fillId="0" borderId="0" xfId="1" applyFont="1" applyFill="1" applyBorder="1" applyAlignment="1">
      <alignment vertical="center"/>
    </xf>
    <xf numFmtId="0" fontId="10" fillId="0" borderId="0" xfId="1" applyFont="1" applyFill="1" applyBorder="1" applyAlignment="1">
      <alignment vertical="center"/>
    </xf>
    <xf numFmtId="0" fontId="5" fillId="0" borderId="0" xfId="0" applyFont="1" applyFill="1" applyAlignment="1">
      <alignment vertical="center"/>
    </xf>
    <xf numFmtId="0" fontId="9" fillId="5" borderId="0" xfId="0" applyFont="1" applyFill="1" applyBorder="1" applyAlignment="1">
      <alignment vertical="center"/>
    </xf>
    <xf numFmtId="0" fontId="5" fillId="5" borderId="0" xfId="0" applyFont="1" applyFill="1" applyAlignment="1">
      <alignment vertical="center"/>
    </xf>
    <xf numFmtId="0" fontId="7" fillId="0" borderId="0" xfId="0" applyFont="1" applyAlignment="1">
      <alignment vertical="center"/>
    </xf>
    <xf numFmtId="0" fontId="7" fillId="0" borderId="0" xfId="0" applyFont="1" applyFill="1" applyBorder="1" applyAlignment="1">
      <alignment vertical="center"/>
    </xf>
    <xf numFmtId="0" fontId="11" fillId="0" borderId="0" xfId="0" applyFont="1" applyBorder="1" applyAlignment="1">
      <alignment vertical="center"/>
    </xf>
    <xf numFmtId="0" fontId="11" fillId="0" borderId="0" xfId="0" applyFont="1" applyAlignment="1">
      <alignment vertical="center"/>
    </xf>
    <xf numFmtId="0" fontId="12" fillId="6" borderId="0" xfId="0" applyFont="1" applyFill="1" applyBorder="1" applyAlignment="1">
      <alignment vertical="center"/>
    </xf>
    <xf numFmtId="0" fontId="11" fillId="0" borderId="0" xfId="0" applyFont="1" applyFill="1" applyBorder="1" applyAlignment="1">
      <alignment vertical="center"/>
    </xf>
    <xf numFmtId="0" fontId="13" fillId="0" borderId="0" xfId="0" applyFont="1" applyFill="1" applyAlignment="1">
      <alignment vertical="center"/>
    </xf>
    <xf numFmtId="0" fontId="14" fillId="7" borderId="0" xfId="0" applyFont="1" applyFill="1"/>
    <xf numFmtId="0" fontId="15" fillId="7" borderId="0" xfId="0" applyFont="1" applyFill="1"/>
    <xf numFmtId="0" fontId="16" fillId="7" borderId="0" xfId="0" applyFont="1" applyFill="1" applyAlignment="1">
      <alignment vertical="center"/>
    </xf>
    <xf numFmtId="0" fontId="15" fillId="0" borderId="0" xfId="0" applyFont="1" applyFill="1" applyBorder="1" applyAlignment="1">
      <alignment vertical="center"/>
    </xf>
    <xf numFmtId="0" fontId="15" fillId="0" borderId="0" xfId="0" applyFont="1" applyFill="1" applyAlignment="1">
      <alignment vertical="center"/>
    </xf>
    <xf numFmtId="0" fontId="16" fillId="7" borderId="0" xfId="0" applyFont="1" applyFill="1" applyBorder="1" applyAlignment="1">
      <alignment vertical="center"/>
    </xf>
    <xf numFmtId="0" fontId="17" fillId="8" borderId="4" xfId="0" applyFont="1" applyFill="1" applyBorder="1"/>
    <xf numFmtId="0" fontId="5" fillId="9" borderId="3" xfId="0" applyFont="1" applyFill="1" applyBorder="1" applyAlignment="1">
      <alignment vertical="center"/>
    </xf>
    <xf numFmtId="0" fontId="17" fillId="8" borderId="1" xfId="0" applyFont="1" applyFill="1" applyBorder="1"/>
    <xf numFmtId="0" fontId="17" fillId="8" borderId="5" xfId="0" applyFont="1" applyFill="1" applyBorder="1"/>
    <xf numFmtId="0" fontId="17" fillId="8" borderId="6" xfId="0" applyFont="1" applyFill="1" applyBorder="1"/>
    <xf numFmtId="0" fontId="18" fillId="10" borderId="7" xfId="0" applyFont="1" applyFill="1" applyBorder="1"/>
    <xf numFmtId="0" fontId="5" fillId="11" borderId="0" xfId="0" applyFont="1" applyFill="1" applyBorder="1" applyAlignment="1">
      <alignment vertical="center"/>
    </xf>
    <xf numFmtId="0" fontId="5" fillId="11" borderId="0" xfId="0" applyFont="1" applyFill="1" applyBorder="1" applyAlignment="1">
      <alignment horizontal="left" vertical="center" indent="1"/>
    </xf>
    <xf numFmtId="0" fontId="5" fillId="11" borderId="0" xfId="0" applyFont="1" applyFill="1" applyBorder="1" applyAlignment="1">
      <alignment horizontal="left" vertical="center" wrapText="1" indent="2"/>
    </xf>
    <xf numFmtId="0" fontId="5" fillId="11" borderId="0" xfId="0" applyFont="1" applyFill="1" applyBorder="1" applyAlignment="1">
      <alignment horizontal="left" vertical="center" indent="3"/>
    </xf>
    <xf numFmtId="0" fontId="5" fillId="11" borderId="0" xfId="0" applyFont="1" applyFill="1" applyBorder="1" applyAlignment="1">
      <alignment vertical="center" wrapText="1"/>
    </xf>
    <xf numFmtId="0" fontId="5" fillId="11" borderId="0" xfId="0" applyFont="1" applyFill="1" applyBorder="1" applyAlignment="1">
      <alignment horizontal="left" vertical="center" indent="2"/>
    </xf>
    <xf numFmtId="0" fontId="5" fillId="11" borderId="0" xfId="0" applyFont="1" applyFill="1" applyBorder="1" applyAlignment="1" applyProtection="1">
      <alignment horizontal="left" vertical="center"/>
    </xf>
    <xf numFmtId="0" fontId="5" fillId="11" borderId="0" xfId="0" applyFont="1" applyFill="1" applyBorder="1" applyAlignment="1">
      <alignment horizontal="left" vertical="center" wrapText="1" indent="1"/>
    </xf>
    <xf numFmtId="0" fontId="5" fillId="11" borderId="0" xfId="0" applyFont="1" applyFill="1" applyBorder="1" applyAlignment="1">
      <alignment horizontal="left" vertical="center" indent="4"/>
    </xf>
    <xf numFmtId="0" fontId="5" fillId="11" borderId="0" xfId="3" applyFont="1" applyFill="1" applyBorder="1"/>
    <xf numFmtId="0" fontId="0" fillId="10" borderId="8" xfId="0" applyFill="1" applyBorder="1"/>
    <xf numFmtId="0" fontId="0" fillId="10" borderId="9" xfId="0" applyFill="1" applyBorder="1"/>
    <xf numFmtId="0" fontId="0" fillId="10" borderId="10" xfId="0" applyFill="1" applyBorder="1"/>
    <xf numFmtId="0" fontId="0" fillId="10" borderId="11" xfId="0" applyFill="1" applyBorder="1"/>
    <xf numFmtId="0" fontId="5" fillId="9" borderId="0" xfId="0" applyFont="1" applyFill="1" applyAlignment="1">
      <alignment vertical="center"/>
    </xf>
    <xf numFmtId="0" fontId="5" fillId="11" borderId="12" xfId="0" applyFont="1" applyFill="1" applyBorder="1" applyAlignment="1">
      <alignment vertical="center"/>
    </xf>
    <xf numFmtId="0" fontId="5" fillId="11" borderId="5" xfId="0" applyFont="1" applyFill="1" applyBorder="1" applyAlignment="1">
      <alignment vertical="center"/>
    </xf>
    <xf numFmtId="0" fontId="5" fillId="11" borderId="6" xfId="0" applyFont="1" applyFill="1" applyBorder="1" applyAlignment="1">
      <alignment vertical="center"/>
    </xf>
    <xf numFmtId="0" fontId="5" fillId="11" borderId="7" xfId="0" applyFont="1" applyFill="1" applyBorder="1" applyAlignment="1">
      <alignment vertical="center"/>
    </xf>
    <xf numFmtId="0" fontId="5" fillId="11" borderId="13" xfId="0" applyFont="1" applyFill="1" applyBorder="1" applyAlignment="1">
      <alignment vertical="center"/>
    </xf>
    <xf numFmtId="0" fontId="20" fillId="11" borderId="7" xfId="0" applyFont="1" applyFill="1" applyBorder="1" applyAlignment="1">
      <alignment vertical="center"/>
    </xf>
    <xf numFmtId="0" fontId="20" fillId="11" borderId="0" xfId="0" applyFont="1" applyFill="1" applyBorder="1" applyAlignment="1">
      <alignment horizontal="left" vertical="center" indent="2"/>
    </xf>
    <xf numFmtId="0" fontId="5" fillId="11" borderId="13" xfId="0" applyFont="1" applyFill="1" applyBorder="1" applyAlignment="1" applyProtection="1">
      <alignment horizontal="left" vertical="center"/>
    </xf>
    <xf numFmtId="0" fontId="20" fillId="0" borderId="0" xfId="0" applyFont="1" applyAlignment="1" applyProtection="1">
      <alignment horizontal="left" vertical="center" wrapText="1" indent="2"/>
    </xf>
    <xf numFmtId="0" fontId="5" fillId="0" borderId="0" xfId="0" applyFont="1" applyAlignment="1" applyProtection="1">
      <alignment horizontal="left" vertical="center"/>
    </xf>
    <xf numFmtId="0" fontId="5" fillId="0" borderId="0" xfId="0" applyFont="1" applyAlignment="1" applyProtection="1">
      <alignment horizontal="left" vertical="center" indent="2"/>
    </xf>
    <xf numFmtId="0" fontId="5" fillId="11" borderId="0" xfId="0" applyFont="1" applyFill="1" applyBorder="1" applyAlignment="1" applyProtection="1">
      <alignment horizontal="left" vertical="center" indent="2"/>
    </xf>
    <xf numFmtId="0" fontId="5" fillId="0" borderId="0" xfId="0" applyFont="1" applyAlignment="1" applyProtection="1">
      <alignment horizontal="left" vertical="center" wrapText="1" indent="2"/>
    </xf>
    <xf numFmtId="0" fontId="5" fillId="0" borderId="0" xfId="0" applyFont="1" applyAlignment="1" applyProtection="1">
      <alignment vertical="center"/>
    </xf>
    <xf numFmtId="0" fontId="5" fillId="0" borderId="0" xfId="0" applyFont="1" applyAlignment="1" applyProtection="1">
      <alignment horizontal="left" vertical="center" indent="1"/>
    </xf>
    <xf numFmtId="0" fontId="5" fillId="11" borderId="8" xfId="0" applyFont="1" applyFill="1" applyBorder="1" applyAlignment="1">
      <alignment vertical="center"/>
    </xf>
    <xf numFmtId="0" fontId="5" fillId="11" borderId="10" xfId="0" applyFont="1" applyFill="1" applyBorder="1" applyAlignment="1">
      <alignment vertical="center"/>
    </xf>
    <xf numFmtId="0" fontId="5" fillId="11" borderId="11" xfId="0" applyFont="1" applyFill="1" applyBorder="1" applyAlignment="1">
      <alignment vertical="center"/>
    </xf>
    <xf numFmtId="0" fontId="0" fillId="0" borderId="0" xfId="0" applyFill="1"/>
    <xf numFmtId="0" fontId="17" fillId="8" borderId="12" xfId="0" applyFont="1" applyFill="1" applyBorder="1"/>
    <xf numFmtId="0" fontId="21" fillId="11" borderId="5" xfId="0" applyFont="1" applyFill="1" applyBorder="1" applyAlignment="1">
      <alignment vertical="center"/>
    </xf>
    <xf numFmtId="0" fontId="21" fillId="11" borderId="0" xfId="0" applyFont="1" applyFill="1" applyBorder="1" applyAlignment="1">
      <alignment vertical="center"/>
    </xf>
    <xf numFmtId="0" fontId="5" fillId="11" borderId="0" xfId="0" applyFont="1" applyFill="1" applyBorder="1" applyAlignment="1" applyProtection="1">
      <alignment horizontal="left" vertical="center" indent="3"/>
    </xf>
    <xf numFmtId="0" fontId="20" fillId="11" borderId="0" xfId="0" applyFont="1" applyFill="1" applyBorder="1" applyAlignment="1">
      <alignment vertical="center"/>
    </xf>
    <xf numFmtId="0" fontId="20" fillId="11" borderId="13" xfId="0" applyFont="1" applyFill="1" applyBorder="1" applyAlignment="1">
      <alignment vertical="center"/>
    </xf>
    <xf numFmtId="0" fontId="5" fillId="11" borderId="13" xfId="0" applyFont="1" applyFill="1" applyBorder="1" applyAlignment="1">
      <alignment horizontal="left" vertical="center"/>
    </xf>
    <xf numFmtId="0" fontId="22" fillId="11" borderId="0" xfId="0" applyFont="1" applyFill="1" applyBorder="1" applyAlignment="1" applyProtection="1">
      <alignment vertical="center"/>
    </xf>
    <xf numFmtId="0" fontId="20" fillId="11" borderId="13" xfId="0" applyFont="1" applyFill="1" applyBorder="1" applyAlignment="1" applyProtection="1">
      <alignment horizontal="left" vertical="center"/>
    </xf>
    <xf numFmtId="0" fontId="5" fillId="11" borderId="0" xfId="0" applyFont="1" applyFill="1" applyBorder="1" applyAlignment="1" applyProtection="1">
      <alignment vertical="center"/>
    </xf>
    <xf numFmtId="0" fontId="20" fillId="11" borderId="13" xfId="0" applyFont="1" applyFill="1" applyBorder="1" applyAlignment="1">
      <alignment vertical="center" wrapText="1"/>
    </xf>
    <xf numFmtId="0" fontId="5" fillId="11" borderId="10" xfId="0" applyFont="1" applyFill="1" applyBorder="1" applyAlignment="1" applyProtection="1">
      <alignment horizontal="left" vertical="center" indent="2"/>
    </xf>
    <xf numFmtId="0" fontId="5" fillId="11" borderId="10" xfId="0" applyFont="1" applyFill="1" applyBorder="1" applyAlignment="1" applyProtection="1">
      <alignment horizontal="left" vertical="center" indent="1"/>
    </xf>
    <xf numFmtId="0" fontId="5" fillId="11" borderId="10" xfId="0" applyFont="1" applyFill="1" applyBorder="1" applyAlignment="1">
      <alignment horizontal="left"/>
    </xf>
    <xf numFmtId="0" fontId="5" fillId="11" borderId="11" xfId="0" applyFont="1" applyFill="1" applyBorder="1" applyAlignment="1">
      <alignment horizontal="left"/>
    </xf>
    <xf numFmtId="0" fontId="5" fillId="12" borderId="4" xfId="0" applyFont="1" applyFill="1" applyBorder="1" applyAlignment="1">
      <alignment horizontal="left" vertical="center" indent="2"/>
    </xf>
    <xf numFmtId="0" fontId="5" fillId="12" borderId="4" xfId="0" applyFont="1" applyFill="1" applyBorder="1" applyAlignment="1">
      <alignment vertical="center"/>
    </xf>
    <xf numFmtId="0" fontId="5" fillId="11" borderId="0" xfId="0" applyFont="1" applyFill="1" applyBorder="1" applyAlignment="1">
      <alignment horizontal="left" vertical="center" wrapText="1" indent="3"/>
    </xf>
    <xf numFmtId="0" fontId="5" fillId="12" borderId="4" xfId="0" applyFont="1" applyFill="1" applyBorder="1" applyAlignment="1">
      <alignment horizontal="left" vertical="center"/>
    </xf>
    <xf numFmtId="0" fontId="5" fillId="12" borderId="4" xfId="0" applyFont="1" applyFill="1" applyBorder="1" applyAlignment="1">
      <alignment horizontal="left" vertical="center" indent="3"/>
    </xf>
    <xf numFmtId="0" fontId="5" fillId="12" borderId="4" xfId="0" applyFont="1" applyFill="1" applyBorder="1" applyAlignment="1">
      <alignment vertical="center" wrapText="1"/>
    </xf>
    <xf numFmtId="0" fontId="23" fillId="12" borderId="4" xfId="0" applyFont="1" applyFill="1" applyBorder="1" applyAlignment="1">
      <alignment horizontal="left" vertical="center" indent="3"/>
    </xf>
    <xf numFmtId="0" fontId="23" fillId="12" borderId="4" xfId="0" applyFont="1" applyFill="1" applyBorder="1" applyAlignment="1">
      <alignment horizontal="left" vertical="center"/>
    </xf>
    <xf numFmtId="0" fontId="23" fillId="12" borderId="4" xfId="0" applyFont="1" applyFill="1" applyBorder="1" applyAlignment="1">
      <alignment vertical="center"/>
    </xf>
    <xf numFmtId="0" fontId="5" fillId="11" borderId="0" xfId="0" applyFont="1" applyFill="1" applyBorder="1" applyAlignment="1">
      <alignment horizontal="left" vertical="center" indent="5"/>
    </xf>
    <xf numFmtId="0" fontId="23" fillId="12" borderId="4" xfId="0" applyFont="1" applyFill="1" applyBorder="1" applyAlignment="1">
      <alignment horizontal="left" vertical="center" indent="4"/>
    </xf>
    <xf numFmtId="0" fontId="5" fillId="12" borderId="0" xfId="0" applyFont="1" applyFill="1" applyBorder="1" applyAlignment="1">
      <alignment horizontal="left" vertical="center" indent="2"/>
    </xf>
    <xf numFmtId="0" fontId="5" fillId="12" borderId="4" xfId="0" applyFont="1" applyFill="1" applyBorder="1" applyAlignment="1" applyProtection="1">
      <alignment horizontal="left" vertical="center" indent="3"/>
    </xf>
    <xf numFmtId="0" fontId="22" fillId="12" borderId="4" xfId="0" applyFont="1" applyFill="1" applyBorder="1" applyAlignment="1">
      <alignment vertical="center"/>
    </xf>
    <xf numFmtId="0" fontId="5" fillId="12" borderId="4" xfId="0" applyFont="1" applyFill="1" applyBorder="1" applyAlignment="1" applyProtection="1">
      <alignment horizontal="left" vertical="center" indent="2"/>
    </xf>
    <xf numFmtId="0" fontId="5" fillId="12" borderId="4" xfId="0" applyFont="1" applyFill="1" applyBorder="1" applyAlignment="1" applyProtection="1">
      <alignment horizontal="left" vertical="center"/>
    </xf>
    <xf numFmtId="0" fontId="5" fillId="12" borderId="4" xfId="4" applyFont="1" applyFill="1" applyBorder="1" applyAlignment="1" applyProtection="1">
      <alignment horizontal="left" vertical="center" wrapText="1" indent="2"/>
    </xf>
    <xf numFmtId="0" fontId="19" fillId="12" borderId="4" xfId="0" applyFont="1" applyFill="1" applyBorder="1" applyAlignment="1">
      <alignment vertical="center"/>
    </xf>
    <xf numFmtId="0" fontId="7" fillId="12" borderId="4" xfId="0" applyFont="1" applyFill="1" applyBorder="1" applyAlignment="1">
      <alignment vertical="center"/>
    </xf>
    <xf numFmtId="0" fontId="5" fillId="11" borderId="0" xfId="0" applyFont="1" applyFill="1" applyBorder="1" applyAlignment="1" applyProtection="1">
      <alignment horizontal="left" vertical="center" indent="4"/>
    </xf>
    <xf numFmtId="0" fontId="20" fillId="11" borderId="0" xfId="0" applyFont="1" applyFill="1" applyBorder="1" applyAlignment="1">
      <alignment horizontal="left" vertical="center" indent="3"/>
    </xf>
    <xf numFmtId="0" fontId="7" fillId="12" borderId="1" xfId="0" applyFont="1" applyFill="1" applyBorder="1" applyAlignment="1" applyProtection="1">
      <alignment horizontal="left" vertical="center"/>
    </xf>
    <xf numFmtId="0" fontId="5" fillId="12" borderId="0" xfId="4" applyFont="1" applyFill="1" applyBorder="1" applyAlignment="1" applyProtection="1">
      <alignment horizontal="left" vertical="center" wrapText="1" indent="2"/>
    </xf>
    <xf numFmtId="0" fontId="7" fillId="12" borderId="1" xfId="0" applyFont="1" applyFill="1" applyBorder="1" applyAlignment="1">
      <alignment vertical="center"/>
    </xf>
    <xf numFmtId="0" fontId="5" fillId="12" borderId="14" xfId="0" applyFont="1" applyFill="1" applyBorder="1" applyAlignment="1">
      <alignment horizontal="left" vertical="center" indent="3"/>
    </xf>
    <xf numFmtId="0" fontId="7" fillId="12" borderId="14" xfId="0" applyFont="1" applyFill="1" applyBorder="1" applyAlignment="1">
      <alignment vertical="center"/>
    </xf>
    <xf numFmtId="0" fontId="5" fillId="12" borderId="14" xfId="0" applyFont="1" applyFill="1" applyBorder="1" applyAlignment="1">
      <alignment horizontal="left" vertical="center"/>
    </xf>
    <xf numFmtId="0" fontId="11" fillId="12" borderId="4" xfId="0" applyFont="1" applyFill="1" applyBorder="1" applyAlignment="1">
      <alignment vertical="center"/>
    </xf>
    <xf numFmtId="0" fontId="5" fillId="11" borderId="0" xfId="0" applyFont="1" applyFill="1" applyBorder="1" applyAlignment="1" applyProtection="1">
      <alignment horizontal="left" vertical="center" wrapText="1" indent="3"/>
    </xf>
    <xf numFmtId="0" fontId="7" fillId="12" borderId="14" xfId="0" applyFont="1" applyFill="1" applyBorder="1" applyAlignment="1" applyProtection="1">
      <alignment horizontal="left" vertical="center" indent="3"/>
    </xf>
    <xf numFmtId="0" fontId="7" fillId="12" borderId="14" xfId="0" applyFont="1" applyFill="1" applyBorder="1" applyAlignment="1" applyProtection="1">
      <alignment vertical="center"/>
    </xf>
    <xf numFmtId="0" fontId="7" fillId="12" borderId="14" xfId="0" applyFont="1" applyFill="1" applyBorder="1" applyAlignment="1" applyProtection="1">
      <alignment horizontal="left" vertical="center"/>
    </xf>
    <xf numFmtId="0" fontId="5" fillId="12" borderId="9" xfId="0" applyFont="1" applyFill="1" applyBorder="1" applyAlignment="1">
      <alignment horizontal="left" vertical="center" indent="2"/>
    </xf>
    <xf numFmtId="0" fontId="7" fillId="12" borderId="9" xfId="0" applyFont="1" applyFill="1" applyBorder="1" applyAlignment="1">
      <alignment vertical="center"/>
    </xf>
    <xf numFmtId="0" fontId="11" fillId="12" borderId="9" xfId="0" applyFont="1" applyFill="1" applyBorder="1" applyAlignment="1">
      <alignment vertical="center"/>
    </xf>
    <xf numFmtId="0" fontId="5" fillId="12" borderId="4" xfId="0" applyFont="1" applyFill="1" applyBorder="1" applyAlignment="1" applyProtection="1">
      <alignment vertical="center"/>
      <protection locked="0"/>
    </xf>
    <xf numFmtId="0" fontId="20" fillId="11" borderId="0" xfId="0" applyFont="1" applyFill="1" applyBorder="1" applyAlignment="1" applyProtection="1">
      <alignment horizontal="left" vertical="center" indent="3"/>
    </xf>
    <xf numFmtId="0" fontId="24" fillId="0" borderId="12" xfId="0" applyFont="1" applyBorder="1" applyAlignment="1">
      <alignment vertical="center"/>
    </xf>
    <xf numFmtId="0" fontId="24" fillId="13" borderId="4" xfId="0" applyFont="1" applyFill="1" applyBorder="1" applyAlignment="1" applyProtection="1">
      <alignment horizontal="center" vertical="center"/>
    </xf>
    <xf numFmtId="0" fontId="23" fillId="0" borderId="4" xfId="0" applyFont="1" applyBorder="1" applyAlignment="1">
      <alignment horizontal="left" vertical="center"/>
    </xf>
    <xf numFmtId="0" fontId="23" fillId="0" borderId="4" xfId="0" applyFont="1" applyBorder="1" applyAlignment="1">
      <alignment vertical="center"/>
    </xf>
    <xf numFmtId="0" fontId="23" fillId="0" borderId="4" xfId="0" applyFont="1" applyFill="1" applyBorder="1" applyAlignment="1">
      <alignment vertical="center"/>
    </xf>
    <xf numFmtId="0" fontId="23" fillId="0" borderId="4" xfId="0" applyFont="1" applyBorder="1" applyAlignment="1" applyProtection="1">
      <alignment horizontal="left" vertical="center"/>
    </xf>
    <xf numFmtId="0" fontId="25" fillId="0" borderId="4" xfId="0" applyFont="1" applyFill="1" applyBorder="1" applyAlignment="1">
      <alignment horizontal="left" vertical="center" indent="2"/>
    </xf>
    <xf numFmtId="0" fontId="0" fillId="0" borderId="4" xfId="0" applyBorder="1"/>
    <xf numFmtId="0" fontId="23" fillId="0" borderId="4" xfId="0" applyFont="1" applyFill="1" applyBorder="1" applyAlignment="1">
      <alignment horizontal="left" vertical="center"/>
    </xf>
    <xf numFmtId="0" fontId="5" fillId="0" borderId="4" xfId="0" applyFont="1" applyBorder="1" applyAlignment="1">
      <alignment vertical="center"/>
    </xf>
    <xf numFmtId="0" fontId="7" fillId="0" borderId="4" xfId="0" applyFont="1" applyBorder="1" applyAlignment="1">
      <alignment vertical="center"/>
    </xf>
    <xf numFmtId="0" fontId="5" fillId="0" borderId="4" xfId="0" applyFont="1" applyFill="1" applyBorder="1" applyAlignment="1">
      <alignment vertical="center"/>
    </xf>
    <xf numFmtId="0" fontId="5" fillId="0" borderId="4" xfId="0" applyFont="1" applyBorder="1" applyAlignment="1" applyProtection="1">
      <alignment horizontal="left" vertical="center"/>
    </xf>
    <xf numFmtId="0" fontId="5" fillId="0" borderId="4" xfId="0" applyFont="1" applyFill="1" applyBorder="1" applyAlignment="1" applyProtection="1">
      <alignment horizontal="left" vertical="center"/>
    </xf>
    <xf numFmtId="0" fontId="7" fillId="0" borderId="0" xfId="0" applyFont="1" applyFill="1" applyAlignment="1">
      <alignment vertical="center"/>
    </xf>
    <xf numFmtId="0" fontId="7" fillId="0" borderId="4" xfId="0" applyFont="1" applyFill="1" applyBorder="1" applyAlignment="1">
      <alignment vertical="center"/>
    </xf>
    <xf numFmtId="0" fontId="0" fillId="0" borderId="4" xfId="0" applyFill="1" applyBorder="1" applyAlignment="1"/>
    <xf numFmtId="0" fontId="13" fillId="0" borderId="4" xfId="0" applyFont="1" applyFill="1" applyBorder="1" applyAlignment="1">
      <alignment vertical="center"/>
    </xf>
    <xf numFmtId="0" fontId="5" fillId="0" borderId="4" xfId="0" applyFont="1" applyFill="1" applyBorder="1" applyAlignment="1">
      <alignment horizontal="left" vertical="center"/>
    </xf>
    <xf numFmtId="0" fontId="24" fillId="0" borderId="0" xfId="0" applyFont="1" applyFill="1" applyBorder="1" applyAlignment="1">
      <alignment vertical="center"/>
    </xf>
    <xf numFmtId="0" fontId="24" fillId="0" borderId="0" xfId="0" applyFont="1" applyFill="1" applyBorder="1" applyAlignment="1" applyProtection="1">
      <alignment horizontal="center" vertical="center"/>
    </xf>
    <xf numFmtId="0" fontId="0" fillId="0" borderId="0" xfId="0" applyFont="1" applyAlignment="1">
      <alignment vertical="center"/>
    </xf>
    <xf numFmtId="0" fontId="24" fillId="0" borderId="0" xfId="0" applyFont="1" applyFill="1" applyBorder="1" applyAlignment="1" applyProtection="1">
      <alignment horizontal="left" vertical="center"/>
    </xf>
    <xf numFmtId="0" fontId="0" fillId="12" borderId="0" xfId="0" applyFill="1"/>
    <xf numFmtId="0" fontId="28" fillId="0" borderId="0" xfId="0" applyFont="1"/>
    <xf numFmtId="0" fontId="29" fillId="3" borderId="0" xfId="0" applyFont="1" applyFill="1"/>
    <xf numFmtId="0" fontId="26" fillId="3" borderId="0" xfId="0" applyFont="1" applyFill="1"/>
    <xf numFmtId="0" fontId="30" fillId="0" borderId="0" xfId="0" applyFont="1"/>
    <xf numFmtId="0" fontId="31" fillId="0" borderId="4" xfId="0" applyFont="1" applyFill="1" applyBorder="1"/>
    <xf numFmtId="0" fontId="27" fillId="0" borderId="0" xfId="5"/>
  </cellXfs>
  <cellStyles count="6">
    <cellStyle name="40% - Énfasis1" xfId="1" builtinId="31"/>
    <cellStyle name="Hipervínculo" xfId="5" builtinId="8"/>
    <cellStyle name="Normal" xfId="0" builtinId="0"/>
    <cellStyle name="Normal 2" xfId="2"/>
    <cellStyle name="Normal_Est_Flujo_Indirecto_Sep" xfId="3"/>
    <cellStyle name="Normal_IAS7-Est Flujo Directo Banc" xfId="4"/>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3" Type="http://schemas.openxmlformats.org/officeDocument/2006/relationships/hyperlink" Target="http://www.svs.cl/cl/fr/ci/2017-01-03/cl-ci_cl-cp_2017-01-03_role-822400" TargetMode="External"/><Relationship Id="rId18" Type="http://schemas.openxmlformats.org/officeDocument/2006/relationships/hyperlink" Target="http://www.svs.cl/cl/fr/ci/2017-01-03/cl-ci_cl-cp_2017-01-03_role-875000" TargetMode="External"/><Relationship Id="rId26" Type="http://schemas.openxmlformats.org/officeDocument/2006/relationships/hyperlink" Target="http://www.svs.cl/cl/fr/ci/2017-01-03/cl-ci_ias-1_2016-03-31_role-810000" TargetMode="External"/><Relationship Id="rId39" Type="http://schemas.openxmlformats.org/officeDocument/2006/relationships/hyperlink" Target="http://www.svs.cl/cl/fr/ci/2017-01-03/cl-ci_ias-21_2016-03-31_role-842000" TargetMode="External"/><Relationship Id="rId21" Type="http://schemas.openxmlformats.org/officeDocument/2006/relationships/hyperlink" Target="http://www.svs.cl/cl/fr/ci/2017-01-03/cl-ci_ias-1_2016-03-31_role-610000" TargetMode="External"/><Relationship Id="rId34" Type="http://schemas.openxmlformats.org/officeDocument/2006/relationships/hyperlink" Target="http://www.svs.cl/cl/fr/ci/2017-01-03/cl-ci_ias-17_2016-03-31_role-832600" TargetMode="External"/><Relationship Id="rId42" Type="http://schemas.openxmlformats.org/officeDocument/2006/relationships/hyperlink" Target="http://www.svs.cl/cl/fr/ci/2017-01-03/cl-ci_ias-33_2016-03-31_role-838000" TargetMode="External"/><Relationship Id="rId47" Type="http://schemas.openxmlformats.org/officeDocument/2006/relationships/hyperlink" Target="http://www.svs.cl/cl/fr/ci/2017-01-03/cl-ci_ias-41_2016-03-31_role-824180" TargetMode="External"/><Relationship Id="rId50" Type="http://schemas.openxmlformats.org/officeDocument/2006/relationships/hyperlink" Target="http://www.svs.cl/cl/fr/ci/2017-01-03/cl-ci_ifrs-12_2016-03-31_role-825700" TargetMode="External"/><Relationship Id="rId55" Type="http://schemas.openxmlformats.org/officeDocument/2006/relationships/hyperlink" Target="http://www.svs.cl/cl/fr/ci/2017-01-03/cl-ci_ifrs-3_2016-03-31_role-817000" TargetMode="External"/><Relationship Id="rId7" Type="http://schemas.openxmlformats.org/officeDocument/2006/relationships/hyperlink" Target="http://www.svs.cl/cl/fr/ci/2017-01-03/cl-ci_mc_2016-03-31_role-105000" TargetMode="External"/><Relationship Id="rId2" Type="http://schemas.openxmlformats.org/officeDocument/2006/relationships/hyperlink" Target="http://www.svs.cl/cl/fr/hb/2009-03-31/cl-hb_ias-1_2007-09_role-510000" TargetMode="External"/><Relationship Id="rId16" Type="http://schemas.openxmlformats.org/officeDocument/2006/relationships/hyperlink" Target="http://www.svs.cl/cl/fr/ci/2017-01-03/cl-ci_cl-cp_2017-01-03_role-873000" TargetMode="External"/><Relationship Id="rId29" Type="http://schemas.openxmlformats.org/officeDocument/2006/relationships/hyperlink" Target="http://www.svs.cl/cl/fr/ci/2017-01-03/cl-ci_ias-1_2016-03-31_role-880000" TargetMode="External"/><Relationship Id="rId11" Type="http://schemas.openxmlformats.org/officeDocument/2006/relationships/hyperlink" Target="http://www.svs.cl/cl/fr/ci/2017-01-03/cl-ci_circ-1901_2008-10-30_role-872000" TargetMode="External"/><Relationship Id="rId24" Type="http://schemas.openxmlformats.org/officeDocument/2006/relationships/hyperlink" Target="http://www.svs.cl/cl/fr/ci/2017-01-03/cl-ci_ias-1_2016-03-31_role-800500" TargetMode="External"/><Relationship Id="rId32" Type="http://schemas.openxmlformats.org/officeDocument/2006/relationships/hyperlink" Target="http://www.svs.cl/cl/fr/ci/2017-01-03/cl-ci_ias-12_2016-03-31_role-835110" TargetMode="External"/><Relationship Id="rId37" Type="http://schemas.openxmlformats.org/officeDocument/2006/relationships/hyperlink" Target="http://www.svs.cl/cl/fr/ci/2017-01-03/cl-ci_ias-2_2016-03-31_role-826380" TargetMode="External"/><Relationship Id="rId40" Type="http://schemas.openxmlformats.org/officeDocument/2006/relationships/hyperlink" Target="http://www.svs.cl/cl/fr/ci/2017-01-03/cl-ci_ias-23_2016-03-31_role-836200" TargetMode="External"/><Relationship Id="rId45" Type="http://schemas.openxmlformats.org/officeDocument/2006/relationships/hyperlink" Target="http://www.svs.cl/cl/fr/ci/2017-01-03/cl-ci_ias-38_2016-03-31_role-823180" TargetMode="External"/><Relationship Id="rId53" Type="http://schemas.openxmlformats.org/officeDocument/2006/relationships/hyperlink" Target="http://www.svs.cl/cl/fr/ci/2017-01-03/cl-ci_ifrs-16_2016-03-31_role-832610" TargetMode="External"/><Relationship Id="rId58" Type="http://schemas.openxmlformats.org/officeDocument/2006/relationships/hyperlink" Target="http://www.svs.cl/cl/fr/ci/2017-01-03/cl-ci_ifrs-6_2016-03-31_role-822200" TargetMode="External"/><Relationship Id="rId5" Type="http://schemas.openxmlformats.org/officeDocument/2006/relationships/hyperlink" Target="http://www.svs.cl/cl/fr/hb/2009-03-31" TargetMode="External"/><Relationship Id="rId19" Type="http://schemas.openxmlformats.org/officeDocument/2006/relationships/hyperlink" Target="http://www.svs.cl/cl/fr/ci/2017-01-03/cl-ci_ias-1_2016-03-31_role-110000" TargetMode="External"/><Relationship Id="rId4" Type="http://schemas.openxmlformats.org/officeDocument/2006/relationships/hyperlink" Target="http://www.svs.cl/cl/fr/hb/2009-03-31" TargetMode="External"/><Relationship Id="rId9" Type="http://schemas.openxmlformats.org/officeDocument/2006/relationships/hyperlink" Target="http://www.svs.cl/cl/fr/ci/2017-01-03/cl-ci_sic-29_2016-03-31_role-832900" TargetMode="External"/><Relationship Id="rId14" Type="http://schemas.openxmlformats.org/officeDocument/2006/relationships/hyperlink" Target="http://www.svs.cl/cl/fr/ci/2017-01-03/cl-ci_cl-cp_2017-01-03_role-822410" TargetMode="External"/><Relationship Id="rId22" Type="http://schemas.openxmlformats.org/officeDocument/2006/relationships/hyperlink" Target="http://www.svs.cl/cl/fr/ci/2017-01-03/cl-ci_ias-1_2016-03-31_role-800100" TargetMode="External"/><Relationship Id="rId27" Type="http://schemas.openxmlformats.org/officeDocument/2006/relationships/hyperlink" Target="http://www.svs.cl/cl/fr/ci/2017-01-03/cl-ci_ias-1_2016-03-31_role-861000" TargetMode="External"/><Relationship Id="rId30" Type="http://schemas.openxmlformats.org/officeDocument/2006/relationships/hyperlink" Target="http://www.svs.cl/cl/fr/ci/2017-01-03/cl-ci_ias-10_2016-03-31_role-815000" TargetMode="External"/><Relationship Id="rId35" Type="http://schemas.openxmlformats.org/officeDocument/2006/relationships/hyperlink" Target="http://www.svs.cl/cl/fr/ci/2017-01-03/cl-ci_ias-18_2016-03-31_role-831110" TargetMode="External"/><Relationship Id="rId43" Type="http://schemas.openxmlformats.org/officeDocument/2006/relationships/hyperlink" Target="http://www.svs.cl/cl/fr/ci/2017-01-03/cl-ci_ias-36_2016-03-31_role-832410" TargetMode="External"/><Relationship Id="rId48" Type="http://schemas.openxmlformats.org/officeDocument/2006/relationships/hyperlink" Target="http://www.svs.cl/cl/fr/ci/2017-01-03/cl-ci_ias-7_2016-03-31_role-851100" TargetMode="External"/><Relationship Id="rId56" Type="http://schemas.openxmlformats.org/officeDocument/2006/relationships/hyperlink" Target="http://www.svs.cl/cl/fr/ci/2017-01-03/cl-ci_ifrs-3_2016-03-31_role-817100" TargetMode="External"/><Relationship Id="rId8" Type="http://schemas.openxmlformats.org/officeDocument/2006/relationships/hyperlink" Target="http://www.svs.cl/cl/fr/ci/2017-01-03/full_ifrs-dim_2016-03-31" TargetMode="External"/><Relationship Id="rId51" Type="http://schemas.openxmlformats.org/officeDocument/2006/relationships/hyperlink" Target="http://www.svs.cl/cl/fr/ci/2017-01-03/cl-ci_ifrs-13_2016-03-31_role-823000" TargetMode="External"/><Relationship Id="rId3" Type="http://schemas.openxmlformats.org/officeDocument/2006/relationships/hyperlink" Target="http://www.svs.cl/cl/fr/hb/2009-03-31/cl-hb_ias-1_2007-09_role-210000" TargetMode="External"/><Relationship Id="rId12" Type="http://schemas.openxmlformats.org/officeDocument/2006/relationships/hyperlink" Target="http://www.svs.cl/cl/fr/ci/2017-01-03/cl-ci_circ-1901_2008-10-30_role-890000" TargetMode="External"/><Relationship Id="rId17" Type="http://schemas.openxmlformats.org/officeDocument/2006/relationships/hyperlink" Target="http://www.svs.cl/cl/fr/ci/2017-01-03/cl-ci_cl-cp_2017-01-03_role-874000" TargetMode="External"/><Relationship Id="rId25" Type="http://schemas.openxmlformats.org/officeDocument/2006/relationships/hyperlink" Target="http://www.svs.cl/cl/fr/ci/2017-01-03/cl-ci_ias-1_2016-03-31_role-800600" TargetMode="External"/><Relationship Id="rId33" Type="http://schemas.openxmlformats.org/officeDocument/2006/relationships/hyperlink" Target="http://www.svs.cl/cl/fr/ci/2017-01-03/cl-ci_ias-16_2016-03-31_role-822100" TargetMode="External"/><Relationship Id="rId38" Type="http://schemas.openxmlformats.org/officeDocument/2006/relationships/hyperlink" Target="http://www.svs.cl/cl/fr/ci/2017-01-03/cl-ci_ias-20_2016-03-31_role-831400" TargetMode="External"/><Relationship Id="rId46" Type="http://schemas.openxmlformats.org/officeDocument/2006/relationships/hyperlink" Target="http://www.svs.cl/cl/fr/ci/2017-01-03/cl-ci_ias-40_2016-03-31_role-825100" TargetMode="External"/><Relationship Id="rId59" Type="http://schemas.openxmlformats.org/officeDocument/2006/relationships/hyperlink" Target="http://www.svs.cl/cl/fr/ci/2017-01-03/cl-ci_ifrs-8_2016-03-31_role-871100" TargetMode="External"/><Relationship Id="rId20" Type="http://schemas.openxmlformats.org/officeDocument/2006/relationships/hyperlink" Target="http://www.svs.cl/cl/fr/ci/2017-01-03/cl-ci_ias-1_2016-03-31_role-420000" TargetMode="External"/><Relationship Id="rId41" Type="http://schemas.openxmlformats.org/officeDocument/2006/relationships/hyperlink" Target="http://www.svs.cl/cl/fr/ci/2017-01-03/cl-ci_ias-24_2016-03-31_role-818000" TargetMode="External"/><Relationship Id="rId54" Type="http://schemas.openxmlformats.org/officeDocument/2006/relationships/hyperlink" Target="http://www.svs.cl/cl/fr/ci/2017-01-03/cl-ci_ifrs-2_2016-03-31_role-834120" TargetMode="External"/><Relationship Id="rId1" Type="http://schemas.openxmlformats.org/officeDocument/2006/relationships/hyperlink" Target="http://www.svs.cl/cl/fr/hb/2009-03-31/cl-hb_ias-1_2007-09_role-310000" TargetMode="External"/><Relationship Id="rId6" Type="http://schemas.openxmlformats.org/officeDocument/2006/relationships/hyperlink" Target="http://www.svs.cl/cl/fr/hb/2009-03-31/shell" TargetMode="External"/><Relationship Id="rId15" Type="http://schemas.openxmlformats.org/officeDocument/2006/relationships/hyperlink" Target="http://www.svs.cl/cl/fr/ci/2017-01-03/cl-ci_cl-cp_2017-01-03_role-822450" TargetMode="External"/><Relationship Id="rId23" Type="http://schemas.openxmlformats.org/officeDocument/2006/relationships/hyperlink" Target="http://www.svs.cl/cl/fr/ci/2017-01-03/cl-ci_ias-1_2016-03-31_role-800200" TargetMode="External"/><Relationship Id="rId28" Type="http://schemas.openxmlformats.org/officeDocument/2006/relationships/hyperlink" Target="http://www.svs.cl/cl/fr/ci/2017-01-03/cl-ci_ias-1_2016-03-31_role-861200" TargetMode="External"/><Relationship Id="rId36" Type="http://schemas.openxmlformats.org/officeDocument/2006/relationships/hyperlink" Target="http://www.svs.cl/cl/fr/ci/2017-01-03/cl-ci_ias-19_2016-03-31_role-834480" TargetMode="External"/><Relationship Id="rId49" Type="http://schemas.openxmlformats.org/officeDocument/2006/relationships/hyperlink" Target="http://www.svs.cl/cl/fr/ci/2017-01-03/cl-ci_ias-8_2016-03-31_role-811000" TargetMode="External"/><Relationship Id="rId57" Type="http://schemas.openxmlformats.org/officeDocument/2006/relationships/hyperlink" Target="http://www.svs.cl/cl/fr/ci/2017-01-03/cl-ci_ifrs-5_2016-03-31_role-825900" TargetMode="External"/><Relationship Id="rId10" Type="http://schemas.openxmlformats.org/officeDocument/2006/relationships/hyperlink" Target="http://www.svs.cl/cl/fr/ci/2017-01-03/cl-ci_sic-27_2016-03-31_role-832800" TargetMode="External"/><Relationship Id="rId31" Type="http://schemas.openxmlformats.org/officeDocument/2006/relationships/hyperlink" Target="http://www.svs.cl/cl/fr/ci/2017-01-03/cl-ci_ias-11_2016-03-31_role-831710" TargetMode="External"/><Relationship Id="rId44" Type="http://schemas.openxmlformats.org/officeDocument/2006/relationships/hyperlink" Target="http://www.svs.cl/cl/fr/ci/2017-01-03/cl-ci_ias-37_2016-03-31_role-827570" TargetMode="External"/><Relationship Id="rId52" Type="http://schemas.openxmlformats.org/officeDocument/2006/relationships/hyperlink" Target="http://www.svs.cl/cl/fr/ci/2017-01-03/cl-ci_ifrs-15_2016-03-31_role-831150"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http://www.svs.cl/cl/fr/ci/role/ias-1_2007-09_role-210000" TargetMode="External"/></Relationships>
</file>

<file path=xl/worksheets/_rels/sheet7.xml.rels><?xml version="1.0" encoding="UTF-8" standalone="yes"?>
<Relationships xmlns="http://schemas.openxmlformats.org/package/2006/relationships"><Relationship Id="rId13" Type="http://schemas.openxmlformats.org/officeDocument/2006/relationships/hyperlink" Target="http://www.svs.cl/cl/fr/ci/2017-01-03/cl-ci_cl-cp_2017-01-03_role-875000" TargetMode="External"/><Relationship Id="rId18" Type="http://schemas.openxmlformats.org/officeDocument/2006/relationships/hyperlink" Target="http://www.svs.cl/cl/fr/ci/2017-01-03/cl-ci_ias-1_2016-03-31_role-800200" TargetMode="External"/><Relationship Id="rId26" Type="http://schemas.openxmlformats.org/officeDocument/2006/relationships/hyperlink" Target="http://www.svs.cl/cl/fr/ci/2017-01-03/cl-ci_ias-11_2016-03-31_role-831710" TargetMode="External"/><Relationship Id="rId39" Type="http://schemas.openxmlformats.org/officeDocument/2006/relationships/hyperlink" Target="http://www.svs.cl/cl/fr/ci/2017-01-03/cl-ci_ias-37_2016-03-31_role-827570" TargetMode="External"/><Relationship Id="rId21" Type="http://schemas.openxmlformats.org/officeDocument/2006/relationships/hyperlink" Target="http://www.svs.cl/cl/fr/ci/2017-01-03/cl-ci_ias-1_2016-03-31_role-810000" TargetMode="External"/><Relationship Id="rId34" Type="http://schemas.openxmlformats.org/officeDocument/2006/relationships/hyperlink" Target="http://www.svs.cl/cl/fr/ci/2017-01-03/cl-ci_ias-21_2016-03-31_role-842000" TargetMode="External"/><Relationship Id="rId42" Type="http://schemas.openxmlformats.org/officeDocument/2006/relationships/hyperlink" Target="http://www.svs.cl/cl/fr/ci/2017-01-03/cl-ci_ias-41_2016-03-31_role-824180" TargetMode="External"/><Relationship Id="rId47" Type="http://schemas.openxmlformats.org/officeDocument/2006/relationships/hyperlink" Target="http://www.svs.cl/cl/fr/ci/2017-01-03/cl-ci_ifrs-15_2016-03-31_role-831150" TargetMode="External"/><Relationship Id="rId50" Type="http://schemas.openxmlformats.org/officeDocument/2006/relationships/hyperlink" Target="http://www.svs.cl/cl/fr/ci/2017-01-03/cl-ci_ifrs-3_2016-03-31_role-817000" TargetMode="External"/><Relationship Id="rId7" Type="http://schemas.openxmlformats.org/officeDocument/2006/relationships/hyperlink" Target="http://www.svs.cl/cl/fr/ci/2017-01-03/cl-ci_circ-1901_2008-10-30_role-890000" TargetMode="External"/><Relationship Id="rId2" Type="http://schemas.openxmlformats.org/officeDocument/2006/relationships/hyperlink" Target="http://www.svs.cl/cl/fr/ci/2017-01-03/cl-ci_mc_2016-03-31_role-105000" TargetMode="External"/><Relationship Id="rId16" Type="http://schemas.openxmlformats.org/officeDocument/2006/relationships/hyperlink" Target="http://www.svs.cl/cl/fr/ci/2017-01-03/cl-ci_ias-1_2016-03-31_role-610000" TargetMode="External"/><Relationship Id="rId29" Type="http://schemas.openxmlformats.org/officeDocument/2006/relationships/hyperlink" Target="http://www.svs.cl/cl/fr/ci/2017-01-03/cl-ci_ias-17_2016-03-31_role-832600" TargetMode="External"/><Relationship Id="rId11" Type="http://schemas.openxmlformats.org/officeDocument/2006/relationships/hyperlink" Target="http://www.svs.cl/cl/fr/ci/2017-01-03/cl-ci_cl-cp_2017-01-03_role-873000" TargetMode="External"/><Relationship Id="rId24" Type="http://schemas.openxmlformats.org/officeDocument/2006/relationships/hyperlink" Target="http://www.svs.cl/cl/fr/ci/2017-01-03/cl-ci_ias-1_2016-03-31_role-880000" TargetMode="External"/><Relationship Id="rId32" Type="http://schemas.openxmlformats.org/officeDocument/2006/relationships/hyperlink" Target="http://www.svs.cl/cl/fr/ci/2017-01-03/cl-ci_ias-2_2016-03-31_role-826380" TargetMode="External"/><Relationship Id="rId37" Type="http://schemas.openxmlformats.org/officeDocument/2006/relationships/hyperlink" Target="http://www.svs.cl/cl/fr/ci/2017-01-03/cl-ci_ias-33_2016-03-31_role-838000" TargetMode="External"/><Relationship Id="rId40" Type="http://schemas.openxmlformats.org/officeDocument/2006/relationships/hyperlink" Target="http://www.svs.cl/cl/fr/ci/2017-01-03/cl-ci_ias-38_2016-03-31_role-823180" TargetMode="External"/><Relationship Id="rId45" Type="http://schemas.openxmlformats.org/officeDocument/2006/relationships/hyperlink" Target="http://www.svs.cl/cl/fr/ci/2017-01-03/cl-ci_ifrs-12_2016-03-31_role-825700" TargetMode="External"/><Relationship Id="rId53" Type="http://schemas.openxmlformats.org/officeDocument/2006/relationships/hyperlink" Target="http://www.svs.cl/cl/fr/ci/2017-01-03/cl-ci_ifrs-6_2016-03-31_role-822200" TargetMode="External"/><Relationship Id="rId5" Type="http://schemas.openxmlformats.org/officeDocument/2006/relationships/hyperlink" Target="http://www.svs.cl/cl/fr/ci/2017-01-03/cl-ci_sic-27_2016-03-31_role-832800" TargetMode="External"/><Relationship Id="rId10" Type="http://schemas.openxmlformats.org/officeDocument/2006/relationships/hyperlink" Target="http://www.svs.cl/cl/fr/ci/2017-01-03/cl-ci_cl-cp_2017-01-03_role-822450" TargetMode="External"/><Relationship Id="rId19" Type="http://schemas.openxmlformats.org/officeDocument/2006/relationships/hyperlink" Target="http://www.svs.cl/cl/fr/ci/2017-01-03/cl-ci_ias-1_2016-03-31_role-800500" TargetMode="External"/><Relationship Id="rId31" Type="http://schemas.openxmlformats.org/officeDocument/2006/relationships/hyperlink" Target="http://www.svs.cl/cl/fr/ci/2017-01-03/cl-ci_ias-19_2016-03-31_role-834480" TargetMode="External"/><Relationship Id="rId44" Type="http://schemas.openxmlformats.org/officeDocument/2006/relationships/hyperlink" Target="http://www.svs.cl/cl/fr/ci/2017-01-03/cl-ci_ias-8_2016-03-31_role-811000" TargetMode="External"/><Relationship Id="rId52" Type="http://schemas.openxmlformats.org/officeDocument/2006/relationships/hyperlink" Target="http://www.svs.cl/cl/fr/ci/2017-01-03/cl-ci_ifrs-5_2016-03-31_role-825900" TargetMode="External"/><Relationship Id="rId4" Type="http://schemas.openxmlformats.org/officeDocument/2006/relationships/hyperlink" Target="http://www.svs.cl/cl/fr/ci/2017-01-03/cl-ci_sic-29_2016-03-31_role-832900" TargetMode="External"/><Relationship Id="rId9" Type="http://schemas.openxmlformats.org/officeDocument/2006/relationships/hyperlink" Target="http://www.svs.cl/cl/fr/ci/2017-01-03/cl-ci_cl-cp_2017-01-03_role-822410" TargetMode="External"/><Relationship Id="rId14" Type="http://schemas.openxmlformats.org/officeDocument/2006/relationships/hyperlink" Target="http://www.svs.cl/cl/fr/ci/2017-01-03/cl-ci_ias-1_2016-03-31_role-110000" TargetMode="External"/><Relationship Id="rId22" Type="http://schemas.openxmlformats.org/officeDocument/2006/relationships/hyperlink" Target="http://www.svs.cl/cl/fr/ci/2017-01-03/cl-ci_ias-1_2016-03-31_role-861000" TargetMode="External"/><Relationship Id="rId27" Type="http://schemas.openxmlformats.org/officeDocument/2006/relationships/hyperlink" Target="http://www.svs.cl/cl/fr/ci/2017-01-03/cl-ci_ias-12_2016-03-31_role-835110" TargetMode="External"/><Relationship Id="rId30" Type="http://schemas.openxmlformats.org/officeDocument/2006/relationships/hyperlink" Target="http://www.svs.cl/cl/fr/ci/2017-01-03/cl-ci_ias-18_2016-03-31_role-831110" TargetMode="External"/><Relationship Id="rId35" Type="http://schemas.openxmlformats.org/officeDocument/2006/relationships/hyperlink" Target="http://www.svs.cl/cl/fr/ci/2017-01-03/cl-ci_ias-23_2016-03-31_role-836200" TargetMode="External"/><Relationship Id="rId43" Type="http://schemas.openxmlformats.org/officeDocument/2006/relationships/hyperlink" Target="http://www.svs.cl/cl/fr/ci/2017-01-03/cl-ci_ias-7_2016-03-31_role-851100" TargetMode="External"/><Relationship Id="rId48" Type="http://schemas.openxmlformats.org/officeDocument/2006/relationships/hyperlink" Target="http://www.svs.cl/cl/fr/ci/2017-01-03/cl-ci_ifrs-16_2016-03-31_role-832610" TargetMode="External"/><Relationship Id="rId8" Type="http://schemas.openxmlformats.org/officeDocument/2006/relationships/hyperlink" Target="http://www.svs.cl/cl/fr/ci/2017-01-03/cl-ci_cl-cp_2017-01-03_role-822400" TargetMode="External"/><Relationship Id="rId51" Type="http://schemas.openxmlformats.org/officeDocument/2006/relationships/hyperlink" Target="http://www.svs.cl/cl/fr/ci/2017-01-03/cl-ci_ifrs-3_2016-03-31_role-817100" TargetMode="External"/><Relationship Id="rId3" Type="http://schemas.openxmlformats.org/officeDocument/2006/relationships/hyperlink" Target="http://www.svs.cl/cl/fr/ci/2017-01-03/full_ifrs-dim_2016-03-31" TargetMode="External"/><Relationship Id="rId12" Type="http://schemas.openxmlformats.org/officeDocument/2006/relationships/hyperlink" Target="http://www.svs.cl/cl/fr/ci/2017-01-03/cl-ci_cl-cp_2017-01-03_role-874000" TargetMode="External"/><Relationship Id="rId17" Type="http://schemas.openxmlformats.org/officeDocument/2006/relationships/hyperlink" Target="http://www.svs.cl/cl/fr/ci/2017-01-03/cl-ci_ias-1_2016-03-31_role-800100" TargetMode="External"/><Relationship Id="rId25" Type="http://schemas.openxmlformats.org/officeDocument/2006/relationships/hyperlink" Target="http://www.svs.cl/cl/fr/ci/2017-01-03/cl-ci_ias-10_2016-03-31_role-815000" TargetMode="External"/><Relationship Id="rId33" Type="http://schemas.openxmlformats.org/officeDocument/2006/relationships/hyperlink" Target="http://www.svs.cl/cl/fr/ci/2017-01-03/cl-ci_ias-20_2016-03-31_role-831400" TargetMode="External"/><Relationship Id="rId38" Type="http://schemas.openxmlformats.org/officeDocument/2006/relationships/hyperlink" Target="http://www.svs.cl/cl/fr/ci/2017-01-03/cl-ci_ias-36_2016-03-31_role-832410" TargetMode="External"/><Relationship Id="rId46" Type="http://schemas.openxmlformats.org/officeDocument/2006/relationships/hyperlink" Target="http://www.svs.cl/cl/fr/ci/2017-01-03/cl-ci_ifrs-13_2016-03-31_role-823000" TargetMode="External"/><Relationship Id="rId20" Type="http://schemas.openxmlformats.org/officeDocument/2006/relationships/hyperlink" Target="http://www.svs.cl/cl/fr/ci/2017-01-03/cl-ci_ias-1_2016-03-31_role-800600" TargetMode="External"/><Relationship Id="rId41" Type="http://schemas.openxmlformats.org/officeDocument/2006/relationships/hyperlink" Target="http://www.svs.cl/cl/fr/ci/2017-01-03/cl-ci_ias-40_2016-03-31_role-825100" TargetMode="External"/><Relationship Id="rId54" Type="http://schemas.openxmlformats.org/officeDocument/2006/relationships/hyperlink" Target="http://www.svs.cl/cl/fr/ci/2017-01-03/cl-ci_ifrs-8_2016-03-31_role-871100" TargetMode="External"/><Relationship Id="rId1" Type="http://schemas.openxmlformats.org/officeDocument/2006/relationships/hyperlink" Target="http://www.svs.cl/cl/fr/ci/2008-10-31/cl-ci_ias-7_2006-11-01_role-520000" TargetMode="External"/><Relationship Id="rId6" Type="http://schemas.openxmlformats.org/officeDocument/2006/relationships/hyperlink" Target="http://www.svs.cl/cl/fr/ci/2017-01-03/cl-ci_circ-1901_2008-10-30_role-872000" TargetMode="External"/><Relationship Id="rId15" Type="http://schemas.openxmlformats.org/officeDocument/2006/relationships/hyperlink" Target="http://www.svs.cl/cl/fr/ci/2017-01-03/cl-ci_ias-1_2016-03-31_role-420000" TargetMode="External"/><Relationship Id="rId23" Type="http://schemas.openxmlformats.org/officeDocument/2006/relationships/hyperlink" Target="http://www.svs.cl/cl/fr/ci/2017-01-03/cl-ci_ias-1_2016-03-31_role-861200" TargetMode="External"/><Relationship Id="rId28" Type="http://schemas.openxmlformats.org/officeDocument/2006/relationships/hyperlink" Target="http://www.svs.cl/cl/fr/ci/2017-01-03/cl-ci_ias-16_2016-03-31_role-822100" TargetMode="External"/><Relationship Id="rId36" Type="http://schemas.openxmlformats.org/officeDocument/2006/relationships/hyperlink" Target="http://www.svs.cl/cl/fr/ci/2017-01-03/cl-ci_ias-24_2016-03-31_role-818000" TargetMode="External"/><Relationship Id="rId49" Type="http://schemas.openxmlformats.org/officeDocument/2006/relationships/hyperlink" Target="http://www.svs.cl/cl/fr/ci/2017-01-03/cl-ci_ifrs-2_2016-03-31_role-8341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
  <sheetViews>
    <sheetView workbookViewId="0">
      <selection activeCell="B18" sqref="B18"/>
    </sheetView>
  </sheetViews>
  <sheetFormatPr baseColWidth="10" defaultColWidth="9.140625" defaultRowHeight="15"/>
  <cols>
    <col min="2" max="2" width="222.5703125" customWidth="1"/>
  </cols>
  <sheetData>
    <row r="2" spans="2:2" ht="101.25">
      <c r="B2" s="1" t="s">
        <v>714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107"/>
  <sheetViews>
    <sheetView zoomScale="90" zoomScaleNormal="90" workbookViewId="0">
      <selection activeCell="D3" sqref="D3"/>
    </sheetView>
  </sheetViews>
  <sheetFormatPr baseColWidth="10" defaultColWidth="9.140625" defaultRowHeight="15"/>
  <cols>
    <col min="3" max="3" width="58.85546875" customWidth="1"/>
    <col min="4" max="4" width="34.28515625" customWidth="1"/>
    <col min="5" max="5" width="87.28515625" customWidth="1"/>
    <col min="6" max="6" width="26" customWidth="1"/>
    <col min="7" max="7" width="45" customWidth="1"/>
    <col min="8" max="8" width="15.28515625" customWidth="1"/>
  </cols>
  <sheetData>
    <row r="1" spans="2:8">
      <c r="C1" s="2" t="s">
        <v>0</v>
      </c>
      <c r="D1" s="3" t="str">
        <f>"2017-01-03"</f>
        <v>2017-01-03</v>
      </c>
      <c r="F1" t="s">
        <v>56</v>
      </c>
      <c r="G1" s="4" t="str">
        <f>+"http://www.svs.cl/cl/fr/ci/2017-01-03/"</f>
        <v>http://www.svs.cl/cl/fr/ci/2017-01-03/</v>
      </c>
    </row>
    <row r="2" spans="2:8">
      <c r="C2" s="2" t="s">
        <v>1</v>
      </c>
      <c r="D2" s="3" t="str">
        <f>"2016-03-31"</f>
        <v>2016-03-31</v>
      </c>
      <c r="F2" t="s">
        <v>57</v>
      </c>
      <c r="G2" s="4" t="str">
        <f>+"http://www.svs.cl/cl/fr/ci/2017-01-03/"</f>
        <v>http://www.svs.cl/cl/fr/ci/2017-01-03/</v>
      </c>
    </row>
    <row r="3" spans="2:8">
      <c r="B3" s="5" t="s">
        <v>2</v>
      </c>
      <c r="C3" s="6" t="s">
        <v>3</v>
      </c>
      <c r="D3" s="6" t="s">
        <v>4</v>
      </c>
      <c r="E3" s="6" t="s">
        <v>5</v>
      </c>
      <c r="F3" s="6" t="s">
        <v>6</v>
      </c>
      <c r="G3" s="6" t="s">
        <v>7</v>
      </c>
      <c r="H3" s="7" t="s">
        <v>8</v>
      </c>
    </row>
    <row r="4" spans="2:8">
      <c r="B4" s="8" t="s">
        <v>9</v>
      </c>
      <c r="C4" s="9">
        <v>2</v>
      </c>
      <c r="D4" s="8"/>
      <c r="E4" s="8"/>
    </row>
    <row r="5" spans="2:8">
      <c r="B5" s="10" t="s">
        <v>10</v>
      </c>
      <c r="C5" s="2"/>
      <c r="D5" s="11"/>
      <c r="E5" s="4" t="str">
        <f>+G1&amp;"cl-ci_cor_"&amp;D1&amp;".xsd"</f>
        <v>http://www.svs.cl/cl/fr/ci/2017-01-03/cl-ci_cor_2017-01-03.xsd</v>
      </c>
    </row>
    <row r="6" spans="2:8">
      <c r="B6" s="12" t="s">
        <v>11</v>
      </c>
      <c r="C6" s="13" t="str">
        <f>+"http://www.svs.cl/cl/fr/hs/"&amp;D1</f>
        <v>http://www.svs.cl/cl/fr/hs/2017-01-03</v>
      </c>
      <c r="D6" s="14" t="s">
        <v>12</v>
      </c>
      <c r="E6" s="14" t="str">
        <f>D6&amp;"_"&amp;$D$1&amp;".xsd"</f>
        <v>cl-hs_2017-01-03.xsd</v>
      </c>
      <c r="F6" s="12"/>
      <c r="G6" s="12"/>
      <c r="H6" s="12"/>
    </row>
    <row r="7" spans="2:8">
      <c r="B7" s="10" t="s">
        <v>13</v>
      </c>
      <c r="C7" s="2"/>
      <c r="D7" s="10"/>
      <c r="E7" s="10"/>
      <c r="F7" s="10" t="s">
        <v>14</v>
      </c>
      <c r="G7" s="10"/>
      <c r="H7" s="10"/>
    </row>
    <row r="8" spans="2:8">
      <c r="B8" s="10" t="s">
        <v>15</v>
      </c>
      <c r="C8" s="2"/>
      <c r="D8" s="10"/>
      <c r="E8" s="15" t="str">
        <f>"cl-hs_"&amp;D1&amp;"_label.xml"</f>
        <v>cl-hs_2017-01-03_label.xml</v>
      </c>
      <c r="F8" s="10"/>
      <c r="G8" s="10"/>
      <c r="H8" s="10"/>
    </row>
    <row r="9" spans="2:8">
      <c r="B9" s="10" t="s">
        <v>16</v>
      </c>
      <c r="C9" s="2" t="s">
        <v>17</v>
      </c>
      <c r="D9" s="16" t="s">
        <v>18</v>
      </c>
      <c r="E9" s="8"/>
      <c r="F9" s="10" t="s">
        <v>19</v>
      </c>
      <c r="G9" s="10" t="s">
        <v>14</v>
      </c>
      <c r="H9" s="10" t="s">
        <v>20</v>
      </c>
    </row>
    <row r="10" spans="2:8">
      <c r="B10" s="10" t="s">
        <v>16</v>
      </c>
      <c r="C10" s="2" t="s">
        <v>17</v>
      </c>
      <c r="D10" s="16" t="s">
        <v>18</v>
      </c>
      <c r="E10" s="8"/>
      <c r="F10" s="10" t="s">
        <v>21</v>
      </c>
      <c r="G10" s="10" t="s">
        <v>14</v>
      </c>
      <c r="H10" s="10" t="s">
        <v>22</v>
      </c>
    </row>
    <row r="11" spans="2:8">
      <c r="B11" s="10" t="s">
        <v>16</v>
      </c>
      <c r="C11" s="2" t="s">
        <v>17</v>
      </c>
      <c r="D11" s="16" t="s">
        <v>18</v>
      </c>
      <c r="E11" s="8"/>
      <c r="F11" s="10" t="s">
        <v>23</v>
      </c>
      <c r="G11" s="10" t="s">
        <v>14</v>
      </c>
      <c r="H11" s="10" t="s">
        <v>24</v>
      </c>
    </row>
    <row r="12" spans="2:8">
      <c r="B12" s="10" t="s">
        <v>25</v>
      </c>
      <c r="C12" s="2"/>
      <c r="D12" s="8"/>
      <c r="E12" s="8"/>
      <c r="F12" s="8"/>
      <c r="G12" s="8"/>
      <c r="H12" s="8"/>
    </row>
    <row r="13" spans="2:8">
      <c r="B13" s="2" t="s">
        <v>26</v>
      </c>
      <c r="C13" s="2"/>
      <c r="D13" s="17"/>
      <c r="E13" s="17"/>
      <c r="F13" s="17"/>
      <c r="G13" s="17"/>
      <c r="H13" s="17"/>
    </row>
    <row r="14" spans="2:8">
      <c r="B14" s="12" t="s">
        <v>11</v>
      </c>
      <c r="C14" s="18" t="str">
        <f>+C6&amp;"/cl-hs_ias-1_"&amp;D2&amp;"_role-210000"</f>
        <v>http://www.svs.cl/cl/fr/hs/2017-01-03/cl-hs_ias-1_2016-03-31_role-210000</v>
      </c>
      <c r="D14" s="14" t="str">
        <f>+"cl-hs_ias-1_"&amp;D2&amp;"_role-210000"</f>
        <v>cl-hs_ias-1_2016-03-31_role-210000</v>
      </c>
      <c r="E14" s="14" t="str">
        <f>+D14&amp;".xsd"</f>
        <v>cl-hs_ias-1_2016-03-31_role-210000.xsd</v>
      </c>
      <c r="F14" s="19"/>
      <c r="G14" s="19"/>
      <c r="H14" s="19"/>
    </row>
    <row r="15" spans="2:8">
      <c r="B15" s="10" t="s">
        <v>27</v>
      </c>
      <c r="C15" s="2" t="str">
        <f>+C6</f>
        <v>http://www.svs.cl/cl/fr/hs/2017-01-03</v>
      </c>
      <c r="D15" s="16"/>
      <c r="E15" s="2" t="str">
        <f>+E6</f>
        <v>cl-hs_2017-01-03.xsd</v>
      </c>
      <c r="F15" s="10"/>
      <c r="G15" s="10"/>
      <c r="H15" s="10"/>
    </row>
    <row r="16" spans="2:8">
      <c r="B16" s="11" t="s">
        <v>28</v>
      </c>
      <c r="C16" s="2" t="str">
        <f>+"cl-hs_ias-1_"&amp;D2&amp;"_role-210000"</f>
        <v>cl-hs_ias-1_2016-03-31_role-210000</v>
      </c>
      <c r="D16" s="20" t="s">
        <v>29</v>
      </c>
      <c r="E16" s="21" t="s">
        <v>30</v>
      </c>
      <c r="F16" s="21" t="s">
        <v>31</v>
      </c>
      <c r="G16" s="8"/>
      <c r="H16" s="8"/>
    </row>
    <row r="17" spans="2:8">
      <c r="B17" s="10" t="s">
        <v>15</v>
      </c>
      <c r="C17" s="2"/>
      <c r="D17" s="16"/>
      <c r="E17" s="16" t="str">
        <f>"pre_"&amp;D14&amp;".xml"</f>
        <v>pre_cl-hs_ias-1_2016-03-31_role-210000.xml</v>
      </c>
      <c r="F17" s="10"/>
      <c r="G17" s="10"/>
      <c r="H17" s="10"/>
    </row>
    <row r="18" spans="2:8">
      <c r="B18" s="10" t="s">
        <v>32</v>
      </c>
      <c r="C18" s="16" t="str">
        <f>+Est_Sit_Fin_Clas!C4</f>
        <v>http://www.svs.cl/cl/fr/hs/role/cl-hs_ias-1_2016-03-31_role-210000</v>
      </c>
      <c r="D18" s="16"/>
      <c r="E18" s="16"/>
      <c r="F18" s="21" t="s">
        <v>33</v>
      </c>
      <c r="G18" s="21" t="s">
        <v>34</v>
      </c>
      <c r="H18" s="21" t="s">
        <v>35</v>
      </c>
    </row>
    <row r="19" spans="2:8">
      <c r="B19" s="10" t="s">
        <v>25</v>
      </c>
      <c r="C19" s="2"/>
      <c r="D19" s="16"/>
      <c r="E19" s="16"/>
      <c r="F19" s="2"/>
      <c r="G19" s="2"/>
      <c r="H19" s="2"/>
    </row>
    <row r="20" spans="2:8">
      <c r="B20" s="2" t="s">
        <v>15</v>
      </c>
      <c r="C20" s="2"/>
      <c r="D20" s="16"/>
      <c r="E20" s="16" t="str">
        <f>"cal_"&amp;D14&amp;".xml"</f>
        <v>cal_cl-hs_ias-1_2016-03-31_role-210000.xml</v>
      </c>
      <c r="F20" s="2"/>
      <c r="G20" s="2"/>
      <c r="H20" s="2"/>
    </row>
    <row r="21" spans="2:8">
      <c r="B21" s="10" t="s">
        <v>36</v>
      </c>
      <c r="C21" s="16" t="str">
        <f>+Est_Sit_Fin_Clas!C4</f>
        <v>http://www.svs.cl/cl/fr/hs/role/cl-hs_ias-1_2016-03-31_role-210000</v>
      </c>
      <c r="D21" s="16"/>
      <c r="E21" s="16"/>
      <c r="F21" s="21" t="s">
        <v>37</v>
      </c>
      <c r="G21" s="21" t="s">
        <v>34</v>
      </c>
      <c r="H21" s="21" t="s">
        <v>35</v>
      </c>
    </row>
    <row r="22" spans="2:8">
      <c r="B22" s="10" t="s">
        <v>25</v>
      </c>
      <c r="C22" s="2"/>
      <c r="D22" s="16"/>
      <c r="E22" s="16"/>
      <c r="F22" s="2"/>
      <c r="G22" s="2"/>
      <c r="H22" s="2"/>
    </row>
    <row r="23" spans="2:8">
      <c r="B23" s="12" t="s">
        <v>26</v>
      </c>
      <c r="C23" s="12"/>
      <c r="D23" s="19"/>
      <c r="E23" s="19"/>
      <c r="F23" s="19"/>
      <c r="G23" s="19"/>
      <c r="H23" s="19"/>
    </row>
    <row r="24" spans="2:8">
      <c r="B24" s="12" t="s">
        <v>11</v>
      </c>
      <c r="C24" s="18" t="str">
        <f>+C6&amp;"/cl-hs_ias-1_"&amp;D2&amp;"_role-310000"</f>
        <v>http://www.svs.cl/cl/fr/hs/2017-01-03/cl-hs_ias-1_2016-03-31_role-310000</v>
      </c>
      <c r="D24" s="14" t="str">
        <f>+"cl-hs_ias-1_"&amp;D2&amp;"_role-310000"</f>
        <v>cl-hs_ias-1_2016-03-31_role-310000</v>
      </c>
      <c r="E24" s="14" t="str">
        <f>+D24&amp;".xsd"</f>
        <v>cl-hs_ias-1_2016-03-31_role-310000.xsd</v>
      </c>
      <c r="F24" s="19"/>
      <c r="G24" s="19"/>
      <c r="H24" s="19"/>
    </row>
    <row r="25" spans="2:8">
      <c r="B25" s="10" t="s">
        <v>27</v>
      </c>
      <c r="C25" s="2" t="str">
        <f>+C6</f>
        <v>http://www.svs.cl/cl/fr/hs/2017-01-03</v>
      </c>
      <c r="D25" s="16"/>
      <c r="E25" s="2" t="str">
        <f>+E6</f>
        <v>cl-hs_2017-01-03.xsd</v>
      </c>
      <c r="F25" s="10"/>
      <c r="G25" s="10"/>
      <c r="H25" s="10"/>
    </row>
    <row r="26" spans="2:8">
      <c r="B26" s="11" t="s">
        <v>28</v>
      </c>
      <c r="C26" s="2" t="str">
        <f>+"cl-hs_ias-1_"&amp;D2&amp;"_role-310000"</f>
        <v>cl-hs_ias-1_2016-03-31_role-310000</v>
      </c>
      <c r="D26" s="20" t="s">
        <v>29</v>
      </c>
      <c r="E26" s="21" t="s">
        <v>38</v>
      </c>
      <c r="F26" s="21" t="s">
        <v>39</v>
      </c>
      <c r="G26" s="8"/>
      <c r="H26" s="8"/>
    </row>
    <row r="27" spans="2:8">
      <c r="B27" s="22" t="s">
        <v>28</v>
      </c>
      <c r="C27" s="2" t="str">
        <f>+"cl-hs_ias-1_"&amp;D2&amp;"_role-310001"</f>
        <v>cl-hs_ias-1_2016-03-31_role-310001</v>
      </c>
      <c r="D27" s="23" t="s">
        <v>40</v>
      </c>
      <c r="E27" s="21" t="s">
        <v>41</v>
      </c>
      <c r="F27" s="21" t="s">
        <v>42</v>
      </c>
      <c r="G27" s="8"/>
      <c r="H27" s="8"/>
    </row>
    <row r="28" spans="2:8">
      <c r="B28" s="10" t="s">
        <v>15</v>
      </c>
      <c r="C28" s="2"/>
      <c r="D28" s="16"/>
      <c r="E28" s="16" t="str">
        <f>+"pre_"&amp;D24&amp;".xml"</f>
        <v>pre_cl-hs_ias-1_2016-03-31_role-310000.xml</v>
      </c>
      <c r="F28" s="2"/>
      <c r="G28" s="2"/>
      <c r="H28" s="2"/>
    </row>
    <row r="29" spans="2:8">
      <c r="B29" s="10" t="s">
        <v>32</v>
      </c>
      <c r="C29" s="16" t="str">
        <f>+Est_Res_Funcion!C4</f>
        <v>http://www.svs.cl/cl/fr/hs/role/cl-hs_ias-1_2016-03-31_role-310000</v>
      </c>
      <c r="D29" s="16"/>
      <c r="E29" s="16"/>
      <c r="F29" s="21" t="s">
        <v>43</v>
      </c>
      <c r="G29" s="21" t="s">
        <v>44</v>
      </c>
      <c r="H29" s="21" t="s">
        <v>45</v>
      </c>
    </row>
    <row r="30" spans="2:8">
      <c r="B30" s="10" t="s">
        <v>25</v>
      </c>
      <c r="C30" s="2"/>
      <c r="D30" s="16"/>
      <c r="E30" s="16"/>
      <c r="F30" s="2"/>
      <c r="G30" s="2"/>
      <c r="H30" s="2"/>
    </row>
    <row r="31" spans="2:8">
      <c r="B31" s="2" t="s">
        <v>15</v>
      </c>
      <c r="C31" s="2"/>
      <c r="D31" s="16"/>
      <c r="E31" s="16" t="str">
        <f>+"cal_"&amp;C26&amp;".xml"</f>
        <v>cal_cl-hs_ias-1_2016-03-31_role-310000.xml</v>
      </c>
      <c r="F31" s="2"/>
      <c r="G31" s="2"/>
      <c r="H31" s="2"/>
    </row>
    <row r="32" spans="2:8">
      <c r="B32" s="10" t="s">
        <v>36</v>
      </c>
      <c r="C32" s="16" t="str">
        <f>+Est_Res_Funcion!C4</f>
        <v>http://www.svs.cl/cl/fr/hs/role/cl-hs_ias-1_2016-03-31_role-310000</v>
      </c>
      <c r="D32" s="16"/>
      <c r="E32" s="16"/>
      <c r="F32" s="21" t="s">
        <v>46</v>
      </c>
      <c r="G32" s="21" t="s">
        <v>44</v>
      </c>
      <c r="H32" s="21" t="s">
        <v>45</v>
      </c>
    </row>
    <row r="33" spans="2:8">
      <c r="B33" s="10" t="s">
        <v>25</v>
      </c>
      <c r="C33" s="16"/>
      <c r="D33" s="16"/>
      <c r="E33" s="16"/>
      <c r="F33" s="2"/>
      <c r="G33" s="2"/>
      <c r="H33" s="2"/>
    </row>
    <row r="34" spans="2:8">
      <c r="B34" s="2" t="s">
        <v>15</v>
      </c>
      <c r="C34" s="2"/>
      <c r="D34" s="16"/>
      <c r="E34" s="16" t="str">
        <f>+"cal_"&amp;C27&amp;".xml"</f>
        <v>cal_cl-hs_ias-1_2016-03-31_role-310001.xml</v>
      </c>
      <c r="F34" s="2"/>
      <c r="G34" s="2"/>
      <c r="H34" s="2"/>
    </row>
    <row r="35" spans="2:8">
      <c r="B35" s="10" t="s">
        <v>36</v>
      </c>
      <c r="C35" s="16" t="str">
        <f>+Est_Res_Funcion!D4</f>
        <v>http://www.svs.cl/cl/fr/hs/role/cl-hs_ias-1_2016-03-31_role-310001</v>
      </c>
      <c r="D35" s="16"/>
      <c r="E35" s="16"/>
      <c r="F35" s="21" t="s">
        <v>47</v>
      </c>
      <c r="G35" s="21" t="s">
        <v>44</v>
      </c>
      <c r="H35" s="21" t="s">
        <v>45</v>
      </c>
    </row>
    <row r="36" spans="2:8">
      <c r="B36" s="10" t="s">
        <v>25</v>
      </c>
      <c r="C36" s="2"/>
      <c r="D36" s="16"/>
      <c r="E36" s="16"/>
      <c r="F36" s="2"/>
      <c r="G36" s="2"/>
      <c r="H36" s="2"/>
    </row>
    <row r="37" spans="2:8">
      <c r="B37" s="12" t="s">
        <v>26</v>
      </c>
      <c r="C37" s="12"/>
      <c r="D37" s="19"/>
      <c r="E37" s="19"/>
      <c r="F37" s="19"/>
      <c r="G37" s="19"/>
      <c r="H37" s="19"/>
    </row>
    <row r="38" spans="2:8">
      <c r="B38" s="12" t="s">
        <v>11</v>
      </c>
      <c r="C38" s="18" t="str">
        <f>+C6&amp;"/cl-hs_ias-7_"&amp;D2&amp;"_role-510000"</f>
        <v>http://www.svs.cl/cl/fr/hs/2017-01-03/cl-hs_ias-7_2016-03-31_role-510000</v>
      </c>
      <c r="D38" s="14" t="str">
        <f>+"cl-hs_ias-7_"&amp;D2&amp;"_role-510000"</f>
        <v>cl-hs_ias-7_2016-03-31_role-510000</v>
      </c>
      <c r="E38" s="14" t="str">
        <f>+D38&amp;".xsd"</f>
        <v>cl-hs_ias-7_2016-03-31_role-510000.xsd</v>
      </c>
      <c r="F38" s="19"/>
      <c r="G38" s="19"/>
      <c r="H38" s="19"/>
    </row>
    <row r="39" spans="2:8">
      <c r="B39" s="10" t="s">
        <v>27</v>
      </c>
      <c r="C39" s="2" t="str">
        <f>+C6</f>
        <v>http://www.svs.cl/cl/fr/hs/2017-01-03</v>
      </c>
      <c r="D39" s="16"/>
      <c r="E39" s="2" t="str">
        <f>+E6</f>
        <v>cl-hs_2017-01-03.xsd</v>
      </c>
      <c r="F39" s="10"/>
      <c r="G39" s="10"/>
      <c r="H39" s="10"/>
    </row>
    <row r="40" spans="2:8">
      <c r="B40" s="11" t="s">
        <v>28</v>
      </c>
      <c r="C40" s="2" t="str">
        <f>+"cl-hs_ias-7_"&amp;D2&amp;"_role-510000"</f>
        <v>cl-hs_ias-7_2016-03-31_role-510000</v>
      </c>
      <c r="D40" s="20" t="s">
        <v>29</v>
      </c>
      <c r="E40" s="21" t="s">
        <v>48</v>
      </c>
      <c r="F40" s="21" t="s">
        <v>49</v>
      </c>
      <c r="G40" s="8"/>
      <c r="H40" s="10"/>
    </row>
    <row r="41" spans="2:8">
      <c r="B41" s="10" t="s">
        <v>15</v>
      </c>
      <c r="C41" s="2"/>
      <c r="D41" s="16"/>
      <c r="E41" s="16" t="str">
        <f>+"pre_"&amp;C40&amp;".xml"</f>
        <v>pre_cl-hs_ias-7_2016-03-31_role-510000.xml</v>
      </c>
      <c r="F41" s="2"/>
      <c r="G41" s="2"/>
      <c r="H41" s="2"/>
    </row>
    <row r="42" spans="2:8">
      <c r="B42" s="10" t="s">
        <v>32</v>
      </c>
      <c r="C42" s="21" t="str">
        <f>+Est_Flujo_Directo!C4</f>
        <v>http://www.svs.cl/cl/fr/hs/role/cl-hs_ias-7_2016-03-31_role-510000</v>
      </c>
      <c r="D42" s="16"/>
      <c r="E42" s="16"/>
      <c r="F42" s="21" t="s">
        <v>50</v>
      </c>
      <c r="G42" s="21" t="s">
        <v>51</v>
      </c>
      <c r="H42" s="21" t="s">
        <v>52</v>
      </c>
    </row>
    <row r="43" spans="2:8">
      <c r="B43" s="10" t="s">
        <v>25</v>
      </c>
      <c r="C43" s="2"/>
      <c r="D43" s="16"/>
      <c r="E43" s="16"/>
      <c r="F43" s="2"/>
      <c r="G43" s="2"/>
      <c r="H43" s="2"/>
    </row>
    <row r="44" spans="2:8">
      <c r="B44" s="10" t="s">
        <v>15</v>
      </c>
      <c r="C44" s="2"/>
      <c r="D44" s="16"/>
      <c r="E44" s="16" t="str">
        <f>+"cal_"&amp;C40&amp;".xml"</f>
        <v>cal_cl-hs_ias-7_2016-03-31_role-510000.xml</v>
      </c>
      <c r="F44" s="2"/>
      <c r="G44" s="2"/>
      <c r="H44" s="2"/>
    </row>
    <row r="45" spans="2:8">
      <c r="B45" s="10" t="s">
        <v>36</v>
      </c>
      <c r="C45" s="21" t="str">
        <f>+Est_Flujo_Directo!C4</f>
        <v>http://www.svs.cl/cl/fr/hs/role/cl-hs_ias-7_2016-03-31_role-510000</v>
      </c>
      <c r="D45" s="16"/>
      <c r="E45" s="16"/>
      <c r="F45" s="21" t="s">
        <v>53</v>
      </c>
      <c r="G45" s="21" t="s">
        <v>51</v>
      </c>
      <c r="H45" s="21" t="s">
        <v>52</v>
      </c>
    </row>
    <row r="46" spans="2:8">
      <c r="B46" s="10" t="s">
        <v>25</v>
      </c>
      <c r="C46" s="2"/>
      <c r="D46" s="16"/>
      <c r="E46" s="16"/>
      <c r="F46" s="2"/>
      <c r="G46" s="2"/>
      <c r="H46" s="2"/>
    </row>
    <row r="47" spans="2:8">
      <c r="B47" s="12" t="s">
        <v>26</v>
      </c>
      <c r="C47" s="12"/>
      <c r="D47" s="19"/>
      <c r="E47" s="19"/>
      <c r="F47" s="19"/>
      <c r="G47" s="19"/>
      <c r="H47" s="19"/>
    </row>
    <row r="48" spans="2:8">
      <c r="B48" s="12" t="s">
        <v>11</v>
      </c>
      <c r="C48" s="18" t="str">
        <f>+C6&amp;"/shell"</f>
        <v>http://www.svs.cl/cl/fr/hs/2017-01-03/shell</v>
      </c>
      <c r="D48" s="24" t="s">
        <v>54</v>
      </c>
      <c r="E48" s="24" t="str">
        <f>+"cl-hs_shell_"&amp;D1&amp;".xsd"</f>
        <v>cl-hs_shell_2017-01-03.xsd</v>
      </c>
      <c r="F48" s="19"/>
      <c r="G48" s="19"/>
      <c r="H48" s="19"/>
    </row>
    <row r="49" spans="2:8">
      <c r="B49" s="25" t="s">
        <v>27</v>
      </c>
      <c r="C49" s="25" t="str">
        <f>+C6</f>
        <v>http://www.svs.cl/cl/fr/hs/2017-01-03</v>
      </c>
      <c r="D49" s="25"/>
      <c r="E49" s="25" t="str">
        <f>+E6</f>
        <v>cl-hs_2017-01-03.xsd</v>
      </c>
      <c r="F49" s="25"/>
      <c r="G49" s="25"/>
      <c r="H49" s="25"/>
    </row>
    <row r="50" spans="2:8">
      <c r="B50" s="2" t="s">
        <v>27</v>
      </c>
      <c r="C50" s="2" t="str">
        <f>+C14</f>
        <v>http://www.svs.cl/cl/fr/hs/2017-01-03/cl-hs_ias-1_2016-03-31_role-210000</v>
      </c>
      <c r="D50" s="26"/>
      <c r="E50" s="25" t="str">
        <f>+E14</f>
        <v>cl-hs_ias-1_2016-03-31_role-210000.xsd</v>
      </c>
      <c r="F50" s="17"/>
      <c r="G50" s="17"/>
      <c r="H50" s="17"/>
    </row>
    <row r="51" spans="2:8">
      <c r="B51" s="2" t="s">
        <v>27</v>
      </c>
      <c r="C51" s="2" t="str">
        <f>+C24</f>
        <v>http://www.svs.cl/cl/fr/hs/2017-01-03/cl-hs_ias-1_2016-03-31_role-310000</v>
      </c>
      <c r="D51" s="26"/>
      <c r="E51" s="25" t="str">
        <f>+E24</f>
        <v>cl-hs_ias-1_2016-03-31_role-310000.xsd</v>
      </c>
      <c r="F51" s="17"/>
      <c r="G51" s="17"/>
      <c r="H51" s="17"/>
    </row>
    <row r="52" spans="2:8">
      <c r="B52" s="2" t="s">
        <v>27</v>
      </c>
      <c r="C52" s="2" t="str">
        <f>+C38</f>
        <v>http://www.svs.cl/cl/fr/hs/2017-01-03/cl-hs_ias-7_2016-03-31_role-510000</v>
      </c>
      <c r="D52" s="26"/>
      <c r="E52" s="25" t="str">
        <f>+E38</f>
        <v>cl-hs_ias-7_2016-03-31_role-510000.xsd</v>
      </c>
      <c r="F52" s="17"/>
      <c r="G52" s="17"/>
      <c r="H52" s="17"/>
    </row>
    <row r="53" spans="2:8">
      <c r="B53" s="27" t="s">
        <v>27</v>
      </c>
      <c r="C53" s="28" t="s">
        <v>723</v>
      </c>
      <c r="D53" s="29"/>
      <c r="E53" s="28" t="str">
        <f>+DirOficial&amp;"cl-ci_circ-1901/cl-ci_circ-1901_2008-10-30_role-872000.xsd"</f>
        <v>http://www.svs.cl/cl/fr/ci/2017-01-03/cl-ci_circ-1901/cl-ci_circ-1901_2008-10-30_role-872000.xsd</v>
      </c>
    </row>
    <row r="54" spans="2:8">
      <c r="B54" s="27" t="s">
        <v>27</v>
      </c>
      <c r="C54" s="28" t="s">
        <v>724</v>
      </c>
      <c r="D54" s="29"/>
      <c r="E54" s="28" t="str">
        <f>+DirOficial&amp;"cl-ci_circ-1901/cl-ci_circ-1901_2008-10-30_role-890000.xsd"</f>
        <v>http://www.svs.cl/cl/fr/ci/2017-01-03/cl-ci_circ-1901/cl-ci_circ-1901_2008-10-30_role-890000.xsd</v>
      </c>
    </row>
    <row r="55" spans="2:8">
      <c r="B55" s="27" t="s">
        <v>27</v>
      </c>
      <c r="C55" s="28" t="s">
        <v>725</v>
      </c>
      <c r="D55" s="29"/>
      <c r="E55" s="28" t="str">
        <f>+DirOficial&amp;"cl-ci_cl-cp/cl-ci_cl-cp_2017-01-03_role-822400.xsd"</f>
        <v>http://www.svs.cl/cl/fr/ci/2017-01-03/cl-ci_cl-cp/cl-ci_cl-cp_2017-01-03_role-822400.xsd</v>
      </c>
    </row>
    <row r="56" spans="2:8">
      <c r="B56" s="27" t="s">
        <v>27</v>
      </c>
      <c r="C56" s="28" t="s">
        <v>726</v>
      </c>
      <c r="D56" s="29"/>
      <c r="E56" s="28" t="str">
        <f>+DirOficial&amp;"cl-ci_cl-cp/cl-ci_cl-cp_2017-01-03_role-822410.xsd"</f>
        <v>http://www.svs.cl/cl/fr/ci/2017-01-03/cl-ci_cl-cp/cl-ci_cl-cp_2017-01-03_role-822410.xsd</v>
      </c>
    </row>
    <row r="57" spans="2:8">
      <c r="B57" s="27" t="s">
        <v>27</v>
      </c>
      <c r="C57" s="28" t="s">
        <v>727</v>
      </c>
      <c r="D57" s="29"/>
      <c r="E57" s="28" t="str">
        <f>+DirOficial&amp;"cl-ci_cl-cp/cl-ci_cl-cp_2017-01-03_role-822450.xsd"</f>
        <v>http://www.svs.cl/cl/fr/ci/2017-01-03/cl-ci_cl-cp/cl-ci_cl-cp_2017-01-03_role-822450.xsd</v>
      </c>
    </row>
    <row r="58" spans="2:8">
      <c r="B58" s="27" t="s">
        <v>27</v>
      </c>
      <c r="C58" s="28" t="s">
        <v>728</v>
      </c>
      <c r="D58" s="29"/>
      <c r="E58" s="28" t="str">
        <f>+DirOficial&amp;"cl-ci_cl-cp/cl-ci_cl-cp_2017-01-03_role-873000.xsd"</f>
        <v>http://www.svs.cl/cl/fr/ci/2017-01-03/cl-ci_cl-cp/cl-ci_cl-cp_2017-01-03_role-873000.xsd</v>
      </c>
    </row>
    <row r="59" spans="2:8">
      <c r="B59" s="27" t="s">
        <v>27</v>
      </c>
      <c r="C59" s="28" t="s">
        <v>729</v>
      </c>
      <c r="D59" s="29"/>
      <c r="E59" s="28" t="str">
        <f>+DirOficial&amp;"cl-ci_cl-cp/cl-ci_cl-cp_2017-01-03_role-874000.xsd"</f>
        <v>http://www.svs.cl/cl/fr/ci/2017-01-03/cl-ci_cl-cp/cl-ci_cl-cp_2017-01-03_role-874000.xsd</v>
      </c>
    </row>
    <row r="60" spans="2:8">
      <c r="B60" s="27" t="s">
        <v>27</v>
      </c>
      <c r="C60" s="28" t="s">
        <v>730</v>
      </c>
      <c r="D60" s="29"/>
      <c r="E60" s="28" t="str">
        <f>+DirOficial&amp;"cl-ci_cl-cp/cl-ci_cl-cp_2017-01-03_role-875000.xsd"</f>
        <v>http://www.svs.cl/cl/fr/ci/2017-01-03/cl-ci_cl-cp/cl-ci_cl-cp_2017-01-03_role-875000.xsd</v>
      </c>
    </row>
    <row r="61" spans="2:8">
      <c r="B61" s="27" t="s">
        <v>27</v>
      </c>
      <c r="C61" s="28" t="s">
        <v>731</v>
      </c>
      <c r="D61" s="29"/>
      <c r="E61" s="28" t="str">
        <f>+DirOficial&amp;"cl-ci_ias-1/cl-ci_ias-1_2016-03-31_role-110000.xsd"</f>
        <v>http://www.svs.cl/cl/fr/ci/2017-01-03/cl-ci_ias-1/cl-ci_ias-1_2016-03-31_role-110000.xsd</v>
      </c>
    </row>
    <row r="62" spans="2:8">
      <c r="B62" s="27" t="s">
        <v>27</v>
      </c>
      <c r="C62" s="28" t="s">
        <v>732</v>
      </c>
      <c r="D62" s="29"/>
      <c r="E62" s="28" t="str">
        <f>+DirOficial&amp;"cl-ci_ias-1/cl-ci_ias-1_2016-03-31_role-420000.xsd"</f>
        <v>http://www.svs.cl/cl/fr/ci/2017-01-03/cl-ci_ias-1/cl-ci_ias-1_2016-03-31_role-420000.xsd</v>
      </c>
    </row>
    <row r="63" spans="2:8">
      <c r="B63" s="27" t="s">
        <v>27</v>
      </c>
      <c r="C63" s="28" t="s">
        <v>733</v>
      </c>
      <c r="D63" s="29"/>
      <c r="E63" s="28" t="str">
        <f>+DirOficial&amp;"cl-ci_ias-1/cl-ci_ias-1_2016-03-31_role-610000.xsd"</f>
        <v>http://www.svs.cl/cl/fr/ci/2017-01-03/cl-ci_ias-1/cl-ci_ias-1_2016-03-31_role-610000.xsd</v>
      </c>
    </row>
    <row r="64" spans="2:8">
      <c r="B64" s="27" t="s">
        <v>27</v>
      </c>
      <c r="C64" s="28" t="s">
        <v>734</v>
      </c>
      <c r="D64" s="29"/>
      <c r="E64" s="28" t="str">
        <f>+DirOficial&amp;"cl-ci_ias-1/cl-ci_ias-1_2016-03-31_role-800100.xsd"</f>
        <v>http://www.svs.cl/cl/fr/ci/2017-01-03/cl-ci_ias-1/cl-ci_ias-1_2016-03-31_role-800100.xsd</v>
      </c>
    </row>
    <row r="65" spans="2:5">
      <c r="B65" s="27" t="s">
        <v>27</v>
      </c>
      <c r="C65" s="28" t="s">
        <v>735</v>
      </c>
      <c r="D65" s="29"/>
      <c r="E65" s="28" t="str">
        <f>+DirOficial&amp;"cl-ci_ias-1/cl-ci_ias-1_2016-03-31_role-800200.xsd"</f>
        <v>http://www.svs.cl/cl/fr/ci/2017-01-03/cl-ci_ias-1/cl-ci_ias-1_2016-03-31_role-800200.xsd</v>
      </c>
    </row>
    <row r="66" spans="2:5">
      <c r="B66" s="27" t="s">
        <v>27</v>
      </c>
      <c r="C66" s="28" t="s">
        <v>736</v>
      </c>
      <c r="D66" s="29"/>
      <c r="E66" s="28" t="str">
        <f>+DirOficial&amp;"cl-ci_ias-1/cl-ci_ias-1_2016-03-31_role-800500.xsd"</f>
        <v>http://www.svs.cl/cl/fr/ci/2017-01-03/cl-ci_ias-1/cl-ci_ias-1_2016-03-31_role-800500.xsd</v>
      </c>
    </row>
    <row r="67" spans="2:5">
      <c r="B67" s="27" t="s">
        <v>27</v>
      </c>
      <c r="C67" s="28" t="s">
        <v>737</v>
      </c>
      <c r="D67" s="29"/>
      <c r="E67" s="28" t="str">
        <f>+DirOficial&amp;"cl-ci_ias-1/cl-ci_ias-1_2016-03-31_role-800600.xsd"</f>
        <v>http://www.svs.cl/cl/fr/ci/2017-01-03/cl-ci_ias-1/cl-ci_ias-1_2016-03-31_role-800600.xsd</v>
      </c>
    </row>
    <row r="68" spans="2:5">
      <c r="B68" s="27" t="s">
        <v>27</v>
      </c>
      <c r="C68" s="28" t="s">
        <v>738</v>
      </c>
      <c r="D68" s="29"/>
      <c r="E68" s="28" t="str">
        <f>+DirOficial&amp;"cl-ci_ias-1/cl-ci_ias-1_2016-03-31_role-810000.xsd"</f>
        <v>http://www.svs.cl/cl/fr/ci/2017-01-03/cl-ci_ias-1/cl-ci_ias-1_2016-03-31_role-810000.xsd</v>
      </c>
    </row>
    <row r="69" spans="2:5">
      <c r="B69" s="27" t="s">
        <v>27</v>
      </c>
      <c r="C69" s="28" t="s">
        <v>739</v>
      </c>
      <c r="D69" s="29"/>
      <c r="E69" s="28" t="str">
        <f>+DirOficial&amp;"cl-ci_ias-1/cl-ci_ias-1_2016-03-31_role-861000.xsd"</f>
        <v>http://www.svs.cl/cl/fr/ci/2017-01-03/cl-ci_ias-1/cl-ci_ias-1_2016-03-31_role-861000.xsd</v>
      </c>
    </row>
    <row r="70" spans="2:5">
      <c r="B70" s="27" t="s">
        <v>27</v>
      </c>
      <c r="C70" s="28" t="s">
        <v>740</v>
      </c>
      <c r="D70" s="29"/>
      <c r="E70" s="28" t="str">
        <f>+DirOficial&amp;"cl-ci_ias-1/cl-ci_ias-1_2016-03-31_role-861200.xsd"</f>
        <v>http://www.svs.cl/cl/fr/ci/2017-01-03/cl-ci_ias-1/cl-ci_ias-1_2016-03-31_role-861200.xsd</v>
      </c>
    </row>
    <row r="71" spans="2:5">
      <c r="B71" s="27" t="s">
        <v>27</v>
      </c>
      <c r="C71" s="28" t="s">
        <v>741</v>
      </c>
      <c r="D71" s="29"/>
      <c r="E71" s="28" t="str">
        <f>+DirOficial&amp;"cl-ci_ias-1/cl-ci_ias-1_2016-03-31_role-880000.xsd"</f>
        <v>http://www.svs.cl/cl/fr/ci/2017-01-03/cl-ci_ias-1/cl-ci_ias-1_2016-03-31_role-880000.xsd</v>
      </c>
    </row>
    <row r="72" spans="2:5">
      <c r="B72" s="27" t="s">
        <v>27</v>
      </c>
      <c r="C72" s="28" t="s">
        <v>742</v>
      </c>
      <c r="D72" s="29"/>
      <c r="E72" s="28" t="str">
        <f>+DirOficial&amp;"cl-ci_ias-10/cl-ci_ias-10_2016-03-31_role-815000.xsd"</f>
        <v>http://www.svs.cl/cl/fr/ci/2017-01-03/cl-ci_ias-10/cl-ci_ias-10_2016-03-31_role-815000.xsd</v>
      </c>
    </row>
    <row r="73" spans="2:5">
      <c r="B73" s="27" t="s">
        <v>27</v>
      </c>
      <c r="C73" s="28" t="s">
        <v>743</v>
      </c>
      <c r="D73" s="29"/>
      <c r="E73" s="28" t="str">
        <f>+DirOficial&amp;"cl-ci_ias-11/cl-ci_ias-11_2016-03-31_role-831710.xsd"</f>
        <v>http://www.svs.cl/cl/fr/ci/2017-01-03/cl-ci_ias-11/cl-ci_ias-11_2016-03-31_role-831710.xsd</v>
      </c>
    </row>
    <row r="74" spans="2:5">
      <c r="B74" s="27" t="s">
        <v>27</v>
      </c>
      <c r="C74" s="28" t="s">
        <v>744</v>
      </c>
      <c r="D74" s="29"/>
      <c r="E74" s="28" t="str">
        <f>+DirOficial&amp;"cl-ci_ias-12/cl-ci_ias-12_2016-03-31_role-835110.xsd"</f>
        <v>http://www.svs.cl/cl/fr/ci/2017-01-03/cl-ci_ias-12/cl-ci_ias-12_2016-03-31_role-835110.xsd</v>
      </c>
    </row>
    <row r="75" spans="2:5">
      <c r="B75" s="27" t="s">
        <v>27</v>
      </c>
      <c r="C75" s="28" t="s">
        <v>745</v>
      </c>
      <c r="D75" s="29"/>
      <c r="E75" s="28" t="str">
        <f>+DirOficial&amp;"cl-ci_ias-16/cl-ci_ias-16_2016-03-31_role-822100.xsd"</f>
        <v>http://www.svs.cl/cl/fr/ci/2017-01-03/cl-ci_ias-16/cl-ci_ias-16_2016-03-31_role-822100.xsd</v>
      </c>
    </row>
    <row r="76" spans="2:5">
      <c r="B76" s="27" t="s">
        <v>27</v>
      </c>
      <c r="C76" s="28" t="s">
        <v>746</v>
      </c>
      <c r="D76" s="29"/>
      <c r="E76" s="28" t="str">
        <f>+DirOficial&amp;"cl-ci_ias-17/cl-ci_ias-17_2016-03-31_role-832600.xsd"</f>
        <v>http://www.svs.cl/cl/fr/ci/2017-01-03/cl-ci_ias-17/cl-ci_ias-17_2016-03-31_role-832600.xsd</v>
      </c>
    </row>
    <row r="77" spans="2:5">
      <c r="B77" s="27" t="s">
        <v>27</v>
      </c>
      <c r="C77" s="28" t="s">
        <v>747</v>
      </c>
      <c r="D77" s="29"/>
      <c r="E77" s="28" t="str">
        <f>+DirOficial&amp;"cl-ci_ias-18/cl-ci_ias-18_2016-03-31_role-831110.xsd"</f>
        <v>http://www.svs.cl/cl/fr/ci/2017-01-03/cl-ci_ias-18/cl-ci_ias-18_2016-03-31_role-831110.xsd</v>
      </c>
    </row>
    <row r="78" spans="2:5">
      <c r="B78" s="27" t="s">
        <v>27</v>
      </c>
      <c r="C78" s="28" t="s">
        <v>748</v>
      </c>
      <c r="D78" s="29"/>
      <c r="E78" s="28" t="str">
        <f>+DirOficial&amp;"cl-ci_ias-19/cl-ci_ias-19_2016-03-31_role-834480.xsd"</f>
        <v>http://www.svs.cl/cl/fr/ci/2017-01-03/cl-ci_ias-19/cl-ci_ias-19_2016-03-31_role-834480.xsd</v>
      </c>
    </row>
    <row r="79" spans="2:5">
      <c r="B79" s="27" t="s">
        <v>27</v>
      </c>
      <c r="C79" s="28" t="s">
        <v>749</v>
      </c>
      <c r="D79" s="29"/>
      <c r="E79" s="28" t="str">
        <f>+DirOficial&amp;"cl-ci_ias-2/cl-ci_ias-2_2016-03-31_role-826380.xsd"</f>
        <v>http://www.svs.cl/cl/fr/ci/2017-01-03/cl-ci_ias-2/cl-ci_ias-2_2016-03-31_role-826380.xsd</v>
      </c>
    </row>
    <row r="80" spans="2:5">
      <c r="B80" s="27" t="s">
        <v>27</v>
      </c>
      <c r="C80" s="28" t="s">
        <v>750</v>
      </c>
      <c r="D80" s="29"/>
      <c r="E80" s="28" t="str">
        <f>+DirOficial&amp;"cl-ci_ias-20/cl-ci_ias-20_2016-03-31_role-831400.xsd"</f>
        <v>http://www.svs.cl/cl/fr/ci/2017-01-03/cl-ci_ias-20/cl-ci_ias-20_2016-03-31_role-831400.xsd</v>
      </c>
    </row>
    <row r="81" spans="2:5">
      <c r="B81" s="27" t="s">
        <v>27</v>
      </c>
      <c r="C81" s="28" t="s">
        <v>751</v>
      </c>
      <c r="D81" s="29"/>
      <c r="E81" s="28" t="str">
        <f>+DirOficial&amp;"cl-ci_ias-21/cl-ci_ias-21_2016-03-31_role-842000.xsd"</f>
        <v>http://www.svs.cl/cl/fr/ci/2017-01-03/cl-ci_ias-21/cl-ci_ias-21_2016-03-31_role-842000.xsd</v>
      </c>
    </row>
    <row r="82" spans="2:5">
      <c r="B82" s="27" t="s">
        <v>27</v>
      </c>
      <c r="C82" s="28" t="s">
        <v>752</v>
      </c>
      <c r="D82" s="29"/>
      <c r="E82" s="28" t="str">
        <f>+DirOficial&amp;"cl-ci_ias-23/cl-ci_ias-23_2016-03-31_role-836200.xsd"</f>
        <v>http://www.svs.cl/cl/fr/ci/2017-01-03/cl-ci_ias-23/cl-ci_ias-23_2016-03-31_role-836200.xsd</v>
      </c>
    </row>
    <row r="83" spans="2:5">
      <c r="B83" s="27" t="s">
        <v>27</v>
      </c>
      <c r="C83" s="28" t="s">
        <v>753</v>
      </c>
      <c r="D83" s="29"/>
      <c r="E83" s="28" t="str">
        <f>+DirOficial&amp;"cl-ci_ias-24/cl-ci_ias-24_2016-03-31_role-818000.xsd"</f>
        <v>http://www.svs.cl/cl/fr/ci/2017-01-03/cl-ci_ias-24/cl-ci_ias-24_2016-03-31_role-818000.xsd</v>
      </c>
    </row>
    <row r="84" spans="2:5">
      <c r="B84" s="27" t="s">
        <v>27</v>
      </c>
      <c r="C84" s="28" t="s">
        <v>754</v>
      </c>
      <c r="D84" s="29"/>
      <c r="E84" s="28" t="str">
        <f>+DirOficial&amp;"cl-ci_ias-33/cl-ci_ias-33_2016-03-31_role-838000.xsd"</f>
        <v>http://www.svs.cl/cl/fr/ci/2017-01-03/cl-ci_ias-33/cl-ci_ias-33_2016-03-31_role-838000.xsd</v>
      </c>
    </row>
    <row r="85" spans="2:5">
      <c r="B85" s="27" t="s">
        <v>27</v>
      </c>
      <c r="C85" s="28" t="s">
        <v>755</v>
      </c>
      <c r="D85" s="29"/>
      <c r="E85" s="28" t="str">
        <f>+DirOficial&amp;"cl-ci_ias-36/cl-ci_ias-36_2016-03-31_role-832410.xsd"</f>
        <v>http://www.svs.cl/cl/fr/ci/2017-01-03/cl-ci_ias-36/cl-ci_ias-36_2016-03-31_role-832410.xsd</v>
      </c>
    </row>
    <row r="86" spans="2:5">
      <c r="B86" s="27" t="s">
        <v>27</v>
      </c>
      <c r="C86" s="28" t="s">
        <v>756</v>
      </c>
      <c r="D86" s="29"/>
      <c r="E86" s="28" t="str">
        <f>+DirOficial&amp;"cl-ci_ias-37/cl-ci_ias-37_2016-03-31_role-827570.xsd"</f>
        <v>http://www.svs.cl/cl/fr/ci/2017-01-03/cl-ci_ias-37/cl-ci_ias-37_2016-03-31_role-827570.xsd</v>
      </c>
    </row>
    <row r="87" spans="2:5">
      <c r="B87" s="27" t="s">
        <v>27</v>
      </c>
      <c r="C87" s="28" t="s">
        <v>757</v>
      </c>
      <c r="D87" s="29"/>
      <c r="E87" s="28" t="str">
        <f>+DirOficial&amp;"cl-ci_ias-38/cl-ci_ias-38_2016-03-31_role-823180.xsd"</f>
        <v>http://www.svs.cl/cl/fr/ci/2017-01-03/cl-ci_ias-38/cl-ci_ias-38_2016-03-31_role-823180.xsd</v>
      </c>
    </row>
    <row r="88" spans="2:5">
      <c r="B88" s="27" t="s">
        <v>27</v>
      </c>
      <c r="C88" s="28" t="s">
        <v>758</v>
      </c>
      <c r="D88" s="29"/>
      <c r="E88" s="28" t="str">
        <f>+DirOficial&amp;"cl-ci_ias-40/cl-ci_ias-40_2016-03-31_role-825100.xsd"</f>
        <v>http://www.svs.cl/cl/fr/ci/2017-01-03/cl-ci_ias-40/cl-ci_ias-40_2016-03-31_role-825100.xsd</v>
      </c>
    </row>
    <row r="89" spans="2:5">
      <c r="B89" s="27" t="s">
        <v>27</v>
      </c>
      <c r="C89" s="28" t="s">
        <v>759</v>
      </c>
      <c r="D89" s="29"/>
      <c r="E89" s="28" t="str">
        <f>+DirOficial&amp;"cl-ci_ias-41/cl-ci_ias-41_2016-03-31_role-824180.xsd"</f>
        <v>http://www.svs.cl/cl/fr/ci/2017-01-03/cl-ci_ias-41/cl-ci_ias-41_2016-03-31_role-824180.xsd</v>
      </c>
    </row>
    <row r="90" spans="2:5">
      <c r="B90" s="27" t="s">
        <v>27</v>
      </c>
      <c r="C90" s="28" t="s">
        <v>760</v>
      </c>
      <c r="D90" s="29"/>
      <c r="E90" s="28" t="str">
        <f>+DirOficial&amp;"cl-ci_ias-7/cl-ci_ias-7_2016-03-31_role-851100.xsd"</f>
        <v>http://www.svs.cl/cl/fr/ci/2017-01-03/cl-ci_ias-7/cl-ci_ias-7_2016-03-31_role-851100.xsd</v>
      </c>
    </row>
    <row r="91" spans="2:5">
      <c r="B91" s="27" t="s">
        <v>27</v>
      </c>
      <c r="C91" s="28" t="s">
        <v>761</v>
      </c>
      <c r="D91" s="29"/>
      <c r="E91" s="28" t="str">
        <f>+DirOficial&amp;"cl-ci_ias-8/cl-ci_ias-8_2016-03-31_role-811000.xsd"</f>
        <v>http://www.svs.cl/cl/fr/ci/2017-01-03/cl-ci_ias-8/cl-ci_ias-8_2016-03-31_role-811000.xsd</v>
      </c>
    </row>
    <row r="92" spans="2:5">
      <c r="B92" s="27" t="s">
        <v>27</v>
      </c>
      <c r="C92" s="28" t="s">
        <v>762</v>
      </c>
      <c r="D92" s="29"/>
      <c r="E92" s="28" t="str">
        <f>+DirOficial&amp;"cl-ci_ifrs-12/cl-ci_ifrs-12_2016-03-31_role-825700.xsd"</f>
        <v>http://www.svs.cl/cl/fr/ci/2017-01-03/cl-ci_ifrs-12/cl-ci_ifrs-12_2016-03-31_role-825700.xsd</v>
      </c>
    </row>
    <row r="93" spans="2:5">
      <c r="B93" s="27" t="s">
        <v>27</v>
      </c>
      <c r="C93" s="28" t="s">
        <v>763</v>
      </c>
      <c r="D93" s="29"/>
      <c r="E93" s="28" t="str">
        <f>+DirOficial&amp;"cl-ci_ifrs-13/cl-ci_ifrs-13_2016-03-31_role-823000.xsd"</f>
        <v>http://www.svs.cl/cl/fr/ci/2017-01-03/cl-ci_ifrs-13/cl-ci_ifrs-13_2016-03-31_role-823000.xsd</v>
      </c>
    </row>
    <row r="94" spans="2:5">
      <c r="B94" s="27" t="s">
        <v>27</v>
      </c>
      <c r="C94" s="28" t="s">
        <v>764</v>
      </c>
      <c r="D94" s="29"/>
      <c r="E94" s="28" t="str">
        <f>+DirOficial&amp;"cl-ci_ifrs-15/cl-ci_ifrs-15_2016-03-31_role-831150.xsd"</f>
        <v>http://www.svs.cl/cl/fr/ci/2017-01-03/cl-ci_ifrs-15/cl-ci_ifrs-15_2016-03-31_role-831150.xsd</v>
      </c>
    </row>
    <row r="95" spans="2:5">
      <c r="B95" s="27" t="s">
        <v>27</v>
      </c>
      <c r="C95" s="28" t="s">
        <v>765</v>
      </c>
      <c r="D95" s="29"/>
      <c r="E95" s="28" t="str">
        <f>+DirOficial&amp;"cl-ci_ifrs-16/cl-ci_ifrs-16_2016-03-31_role-832610.xsd"</f>
        <v>http://www.svs.cl/cl/fr/ci/2017-01-03/cl-ci_ifrs-16/cl-ci_ifrs-16_2016-03-31_role-832610.xsd</v>
      </c>
    </row>
    <row r="96" spans="2:5">
      <c r="B96" s="27" t="s">
        <v>27</v>
      </c>
      <c r="C96" s="28" t="s">
        <v>766</v>
      </c>
      <c r="D96" s="29"/>
      <c r="E96" s="28" t="str">
        <f>+DirOficial&amp;"cl-ci_ifrs-2/cl-ci_ifrs-2_2016-03-31_role-834120.xsd"</f>
        <v>http://www.svs.cl/cl/fr/ci/2017-01-03/cl-ci_ifrs-2/cl-ci_ifrs-2_2016-03-31_role-834120.xsd</v>
      </c>
    </row>
    <row r="97" spans="2:8">
      <c r="B97" s="27" t="s">
        <v>27</v>
      </c>
      <c r="C97" s="28" t="s">
        <v>767</v>
      </c>
      <c r="D97" s="29"/>
      <c r="E97" s="28" t="str">
        <f>+DirOficial&amp;"cl-ci_ifrs-3/cl-ci_ifrs-3_2016-03-31_role-817000.xsd"</f>
        <v>http://www.svs.cl/cl/fr/ci/2017-01-03/cl-ci_ifrs-3/cl-ci_ifrs-3_2016-03-31_role-817000.xsd</v>
      </c>
    </row>
    <row r="98" spans="2:8">
      <c r="B98" s="27" t="s">
        <v>27</v>
      </c>
      <c r="C98" s="28" t="s">
        <v>768</v>
      </c>
      <c r="D98" s="29"/>
      <c r="E98" s="28" t="str">
        <f>+DirOficial&amp;"cl-ci_ifrs-3/cl-ci_ifrs-3_2016-03-31_role-817100.xsd"</f>
        <v>http://www.svs.cl/cl/fr/ci/2017-01-03/cl-ci_ifrs-3/cl-ci_ifrs-3_2016-03-31_role-817100.xsd</v>
      </c>
    </row>
    <row r="99" spans="2:8">
      <c r="B99" s="27" t="s">
        <v>27</v>
      </c>
      <c r="C99" s="28" t="s">
        <v>769</v>
      </c>
      <c r="D99" s="29"/>
      <c r="E99" s="28" t="str">
        <f>+DirOficial&amp;"cl-ci_ifrs-5/cl-ci_ifrs-5_2016-03-31_role-825900.xsd"</f>
        <v>http://www.svs.cl/cl/fr/ci/2017-01-03/cl-ci_ifrs-5/cl-ci_ifrs-5_2016-03-31_role-825900.xsd</v>
      </c>
    </row>
    <row r="100" spans="2:8">
      <c r="B100" s="27" t="s">
        <v>27</v>
      </c>
      <c r="C100" s="28" t="s">
        <v>770</v>
      </c>
      <c r="D100" s="29"/>
      <c r="E100" s="28" t="str">
        <f>+DirOficial&amp;"cl-ci_ifrs-6/cl-ci_ifrs-6_2016-03-31_role-822200.xsd"</f>
        <v>http://www.svs.cl/cl/fr/ci/2017-01-03/cl-ci_ifrs-6/cl-ci_ifrs-6_2016-03-31_role-822200.xsd</v>
      </c>
    </row>
    <row r="101" spans="2:8">
      <c r="B101" s="27" t="s">
        <v>27</v>
      </c>
      <c r="C101" s="28" t="s">
        <v>771</v>
      </c>
      <c r="D101" s="29"/>
      <c r="E101" s="28" t="str">
        <f>+DirOficial&amp;"cl-ci_ifrs-8/cl-ci_ifrs-8_2016-03-31_role-871100.xsd"</f>
        <v>http://www.svs.cl/cl/fr/ci/2017-01-03/cl-ci_ifrs-8/cl-ci_ifrs-8_2016-03-31_role-871100.xsd</v>
      </c>
    </row>
    <row r="102" spans="2:8">
      <c r="B102" s="27" t="s">
        <v>27</v>
      </c>
      <c r="C102" s="28" t="s">
        <v>722</v>
      </c>
      <c r="D102" s="29"/>
      <c r="E102" s="28" t="str">
        <f>+DirOficial&amp;"cl-ci_sic-27/cl-ci_sic-27_2016-03-31_role-832800.xsd"</f>
        <v>http://www.svs.cl/cl/fr/ci/2017-01-03/cl-ci_sic-27/cl-ci_sic-27_2016-03-31_role-832800.xsd</v>
      </c>
    </row>
    <row r="103" spans="2:8">
      <c r="B103" s="27" t="s">
        <v>27</v>
      </c>
      <c r="C103" s="28" t="s">
        <v>721</v>
      </c>
      <c r="D103" s="29"/>
      <c r="E103" s="28" t="str">
        <f>+DirOficial&amp;"cl-ci_sic-29/cl-ci_sic-29_2016-03-31_role-832900.xsd"</f>
        <v>http://www.svs.cl/cl/fr/ci/2017-01-03/cl-ci_sic-29/cl-ci_sic-29_2016-03-31_role-832900.xsd</v>
      </c>
    </row>
    <row r="104" spans="2:8">
      <c r="B104" s="27" t="s">
        <v>27</v>
      </c>
      <c r="C104" s="28" t="s">
        <v>720</v>
      </c>
      <c r="D104" s="29"/>
      <c r="E104" s="28" t="str">
        <f>+DirOficial&amp;"dimensiones/full_ifrs-dim_2016-03-31.xsd"</f>
        <v>http://www.svs.cl/cl/fr/ci/2017-01-03/dimensiones/full_ifrs-dim_2016-03-31.xsd</v>
      </c>
    </row>
    <row r="105" spans="2:8">
      <c r="B105" s="27" t="s">
        <v>27</v>
      </c>
      <c r="C105" s="28" t="s">
        <v>715</v>
      </c>
      <c r="D105" s="29"/>
      <c r="E105" s="28" t="str">
        <f>+DirOficial&amp;"cl-ci_mc/cl-ci_mc_2016-03-31_role-105000.xsd"</f>
        <v>http://www.svs.cl/cl/fr/ci/2017-01-03/cl-ci_mc/cl-ci_mc_2016-03-31_role-105000.xsd</v>
      </c>
    </row>
    <row r="106" spans="2:8">
      <c r="B106" s="12" t="s">
        <v>26</v>
      </c>
      <c r="C106" s="12"/>
      <c r="D106" s="19"/>
      <c r="E106" s="19"/>
      <c r="F106" s="19"/>
      <c r="G106" s="19"/>
      <c r="H106" s="19"/>
    </row>
    <row r="107" spans="2:8">
      <c r="B107" s="17" t="s">
        <v>55</v>
      </c>
      <c r="C107" s="2"/>
      <c r="D107" s="17"/>
      <c r="E107" s="17"/>
      <c r="F107" s="17"/>
      <c r="G107" s="17"/>
      <c r="H107" s="17"/>
    </row>
  </sheetData>
  <hyperlinks>
    <hyperlink ref="C24" r:id="rId1" display="http://www.svs.cl/cl/fr/hb/2009-03-31/cl-hb_ias-1_2007-09_role-310000"/>
    <hyperlink ref="C38" r:id="rId2" display="http://www.svs.cl/cl/fr/hb/2009-03-31/cl-hb_ias-1_2007-09_role-510000"/>
    <hyperlink ref="C14" r:id="rId3" display="http://www.svs.cl/cl/fr/hb/2009-03-31/cl-hb_ias-1_2007-09_role-210000"/>
    <hyperlink ref="C15" r:id="rId4" display="http://www.svs.cl/cl/fr/hb/2009-03-31"/>
    <hyperlink ref="C39" r:id="rId5" display="http://www.svs.cl/cl/fr/hb/2009-03-31"/>
    <hyperlink ref="C48" r:id="rId6" display="http://www.svs.cl/cl/fr/hb/2009-03-31/shell"/>
    <hyperlink ref="C105" r:id="rId7"/>
    <hyperlink ref="C104" r:id="rId8"/>
    <hyperlink ref="C103" r:id="rId9"/>
    <hyperlink ref="C102" r:id="rId10"/>
    <hyperlink ref="C53" r:id="rId11"/>
    <hyperlink ref="C54" r:id="rId12"/>
    <hyperlink ref="C55" r:id="rId13"/>
    <hyperlink ref="C56" r:id="rId14"/>
    <hyperlink ref="C57" r:id="rId15"/>
    <hyperlink ref="C58" r:id="rId16"/>
    <hyperlink ref="C59" r:id="rId17"/>
    <hyperlink ref="C60" r:id="rId18"/>
    <hyperlink ref="C61" r:id="rId19"/>
    <hyperlink ref="C62" r:id="rId20"/>
    <hyperlink ref="C63" r:id="rId21"/>
    <hyperlink ref="C64" r:id="rId22"/>
    <hyperlink ref="C65" r:id="rId23"/>
    <hyperlink ref="C66" r:id="rId24"/>
    <hyperlink ref="C67" r:id="rId25"/>
    <hyperlink ref="C68" r:id="rId26"/>
    <hyperlink ref="C69" r:id="rId27"/>
    <hyperlink ref="C70" r:id="rId28"/>
    <hyperlink ref="C71" r:id="rId29"/>
    <hyperlink ref="C72" r:id="rId30"/>
    <hyperlink ref="C73" r:id="rId31"/>
    <hyperlink ref="C74" r:id="rId32"/>
    <hyperlink ref="C75" r:id="rId33"/>
    <hyperlink ref="C76" r:id="rId34"/>
    <hyperlink ref="C77" r:id="rId35"/>
    <hyperlink ref="C78" r:id="rId36"/>
    <hyperlink ref="C79" r:id="rId37"/>
    <hyperlink ref="C80" r:id="rId38"/>
    <hyperlink ref="C81" r:id="rId39"/>
    <hyperlink ref="C82" r:id="rId40"/>
    <hyperlink ref="C83" r:id="rId41"/>
    <hyperlink ref="C84" r:id="rId42"/>
    <hyperlink ref="C85" r:id="rId43"/>
    <hyperlink ref="C86" r:id="rId44"/>
    <hyperlink ref="C87" r:id="rId45"/>
    <hyperlink ref="C88" r:id="rId46"/>
    <hyperlink ref="C89" r:id="rId47"/>
    <hyperlink ref="C90" r:id="rId48"/>
    <hyperlink ref="C91" r:id="rId49"/>
    <hyperlink ref="C92" r:id="rId50"/>
    <hyperlink ref="C93" r:id="rId51"/>
    <hyperlink ref="C94" r:id="rId52"/>
    <hyperlink ref="C95" r:id="rId53"/>
    <hyperlink ref="C96" r:id="rId54"/>
    <hyperlink ref="C97" r:id="rId55"/>
    <hyperlink ref="C98" r:id="rId56"/>
    <hyperlink ref="C99" r:id="rId57"/>
    <hyperlink ref="C100" r:id="rId58"/>
    <hyperlink ref="C101" r:id="rId59"/>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F104"/>
  <sheetViews>
    <sheetView topLeftCell="B33" workbookViewId="0">
      <selection activeCell="D36" sqref="D36"/>
    </sheetView>
  </sheetViews>
  <sheetFormatPr baseColWidth="10" defaultColWidth="9.140625" defaultRowHeight="15"/>
  <cols>
    <col min="3" max="3" width="87.28515625" customWidth="1"/>
    <col min="4" max="4" width="96.7109375" customWidth="1"/>
    <col min="6" max="6" width="63" customWidth="1"/>
  </cols>
  <sheetData>
    <row r="4" spans="2:6">
      <c r="B4" s="33" t="s">
        <v>111</v>
      </c>
      <c r="C4" s="34" t="str">
        <f>+"http://www.svs.cl/cl/fr/hs/role/cl-hs_ias-1_"&amp;dts!D2&amp;"_role-210000"</f>
        <v>http://www.svs.cl/cl/fr/hs/role/cl-hs_ias-1_2016-03-31_role-210000</v>
      </c>
    </row>
    <row r="5" spans="2:6">
      <c r="B5" s="33" t="s">
        <v>112</v>
      </c>
      <c r="C5" s="34" t="s">
        <v>113</v>
      </c>
    </row>
    <row r="7" spans="2:6">
      <c r="B7" s="35" t="s">
        <v>114</v>
      </c>
      <c r="C7" s="36" t="s">
        <v>115</v>
      </c>
      <c r="D7" s="36" t="s">
        <v>116</v>
      </c>
      <c r="E7" s="36" t="s">
        <v>117</v>
      </c>
      <c r="F7" s="37" t="s">
        <v>118</v>
      </c>
    </row>
    <row r="8" spans="2:6">
      <c r="B8" s="38">
        <v>10</v>
      </c>
      <c r="C8" s="39" t="s">
        <v>119</v>
      </c>
      <c r="D8" s="39"/>
      <c r="E8" s="39" t="s">
        <v>120</v>
      </c>
      <c r="F8" s="39" t="s">
        <v>121</v>
      </c>
    </row>
    <row r="9" spans="2:6">
      <c r="B9" s="38">
        <v>20</v>
      </c>
      <c r="C9" s="40" t="s">
        <v>122</v>
      </c>
      <c r="D9" s="39"/>
      <c r="E9" s="39" t="s">
        <v>120</v>
      </c>
      <c r="F9" s="39" t="s">
        <v>123</v>
      </c>
    </row>
    <row r="10" spans="2:6">
      <c r="B10" s="38">
        <v>30</v>
      </c>
      <c r="C10" s="88" t="s">
        <v>479</v>
      </c>
      <c r="D10" s="89"/>
      <c r="E10" s="89" t="s">
        <v>12</v>
      </c>
      <c r="F10" s="89" t="s">
        <v>480</v>
      </c>
    </row>
    <row r="11" spans="2:6">
      <c r="B11" s="38">
        <v>40</v>
      </c>
      <c r="C11" s="90" t="s">
        <v>124</v>
      </c>
      <c r="D11" s="39"/>
      <c r="E11" s="39" t="s">
        <v>120</v>
      </c>
      <c r="F11" s="39" t="s">
        <v>125</v>
      </c>
    </row>
    <row r="12" spans="2:6">
      <c r="B12" s="38">
        <v>50</v>
      </c>
      <c r="C12" s="47" t="s">
        <v>126</v>
      </c>
      <c r="D12" s="39"/>
      <c r="E12" s="39" t="s">
        <v>120</v>
      </c>
      <c r="F12" s="39" t="s">
        <v>127</v>
      </c>
    </row>
    <row r="13" spans="2:6">
      <c r="B13" s="38">
        <v>60</v>
      </c>
      <c r="C13" s="47" t="s">
        <v>128</v>
      </c>
      <c r="D13" s="39"/>
      <c r="E13" s="39" t="s">
        <v>120</v>
      </c>
      <c r="F13" s="39" t="s">
        <v>129</v>
      </c>
    </row>
    <row r="14" spans="2:6">
      <c r="B14" s="38">
        <v>70</v>
      </c>
      <c r="C14" s="47" t="s">
        <v>130</v>
      </c>
      <c r="D14" s="39"/>
      <c r="E14" s="39" t="s">
        <v>120</v>
      </c>
      <c r="F14" s="39" t="s">
        <v>131</v>
      </c>
    </row>
    <row r="15" spans="2:6">
      <c r="B15" s="38">
        <v>80</v>
      </c>
      <c r="C15" s="47" t="s">
        <v>132</v>
      </c>
      <c r="D15" s="39"/>
      <c r="E15" s="39" t="s">
        <v>120</v>
      </c>
      <c r="F15" s="39" t="s">
        <v>133</v>
      </c>
    </row>
    <row r="16" spans="2:6">
      <c r="B16" s="38">
        <v>90</v>
      </c>
      <c r="C16" s="47" t="s">
        <v>134</v>
      </c>
      <c r="D16" s="39"/>
      <c r="E16" s="39" t="s">
        <v>135</v>
      </c>
      <c r="F16" s="39" t="s">
        <v>136</v>
      </c>
    </row>
    <row r="17" spans="2:6">
      <c r="B17" s="38">
        <v>100</v>
      </c>
      <c r="C17" s="47" t="s">
        <v>137</v>
      </c>
      <c r="D17" s="39"/>
      <c r="E17" s="39" t="s">
        <v>120</v>
      </c>
      <c r="F17" s="39" t="s">
        <v>138</v>
      </c>
    </row>
    <row r="18" spans="2:6">
      <c r="B18" s="38">
        <v>110</v>
      </c>
      <c r="C18" s="47" t="s">
        <v>139</v>
      </c>
      <c r="D18" s="39"/>
      <c r="E18" s="39" t="s">
        <v>120</v>
      </c>
      <c r="F18" s="39" t="s">
        <v>140</v>
      </c>
    </row>
    <row r="19" spans="2:6">
      <c r="B19" s="38">
        <v>120</v>
      </c>
      <c r="C19" s="47" t="s">
        <v>141</v>
      </c>
      <c r="D19" s="39"/>
      <c r="E19" s="39" t="s">
        <v>120</v>
      </c>
      <c r="F19" s="39" t="s">
        <v>142</v>
      </c>
    </row>
    <row r="20" spans="2:6">
      <c r="B20" s="38">
        <v>130</v>
      </c>
      <c r="C20" s="47" t="s">
        <v>143</v>
      </c>
      <c r="D20" s="43" t="str">
        <f>+B20&amp;"="&amp;B12&amp;"+"&amp;B13&amp;"+"&amp;B14&amp;"+"&amp;B15&amp;"+"&amp;B16&amp;"+"&amp;B17&amp;"+"&amp;B18&amp;"+"&amp;B19</f>
        <v>130=50+60+70+80+90+100+110+120</v>
      </c>
      <c r="E20" s="39" t="s">
        <v>120</v>
      </c>
      <c r="F20" s="39" t="s">
        <v>144</v>
      </c>
    </row>
    <row r="21" spans="2:6">
      <c r="B21" s="38">
        <v>140</v>
      </c>
      <c r="C21" s="47" t="s">
        <v>145</v>
      </c>
      <c r="D21" s="43"/>
      <c r="E21" s="39" t="s">
        <v>120</v>
      </c>
      <c r="F21" s="39" t="s">
        <v>146</v>
      </c>
    </row>
    <row r="22" spans="2:6">
      <c r="B22" s="38">
        <v>150</v>
      </c>
      <c r="C22" s="47" t="s">
        <v>147</v>
      </c>
      <c r="D22" s="43" t="str">
        <f>+B22&amp;"="&amp;B20&amp;"+"&amp;B21</f>
        <v>150=130+140</v>
      </c>
      <c r="E22" s="39" t="s">
        <v>120</v>
      </c>
      <c r="F22" s="39" t="s">
        <v>148</v>
      </c>
    </row>
    <row r="23" spans="2:6">
      <c r="B23" s="38">
        <v>160</v>
      </c>
      <c r="C23" s="42" t="s">
        <v>149</v>
      </c>
      <c r="D23" s="43"/>
      <c r="E23" s="39" t="s">
        <v>120</v>
      </c>
      <c r="F23" s="39" t="s">
        <v>150</v>
      </c>
    </row>
    <row r="24" spans="2:6">
      <c r="B24" s="38">
        <v>170</v>
      </c>
      <c r="C24" s="47" t="s">
        <v>151</v>
      </c>
      <c r="D24" s="43"/>
      <c r="E24" s="39" t="s">
        <v>120</v>
      </c>
      <c r="F24" s="39" t="s">
        <v>152</v>
      </c>
    </row>
    <row r="25" spans="2:6">
      <c r="B25" s="38">
        <v>180</v>
      </c>
      <c r="C25" s="47" t="s">
        <v>153</v>
      </c>
      <c r="D25" s="43"/>
      <c r="E25" s="39" t="s">
        <v>120</v>
      </c>
      <c r="F25" s="39" t="s">
        <v>154</v>
      </c>
    </row>
    <row r="26" spans="2:6">
      <c r="B26" s="38">
        <v>190</v>
      </c>
      <c r="C26" s="47" t="s">
        <v>155</v>
      </c>
      <c r="D26" s="43"/>
      <c r="E26" s="39" t="s">
        <v>120</v>
      </c>
      <c r="F26" s="39" t="s">
        <v>156</v>
      </c>
    </row>
    <row r="27" spans="2:6">
      <c r="B27" s="38">
        <v>200</v>
      </c>
      <c r="C27" s="47" t="s">
        <v>157</v>
      </c>
      <c r="D27" s="43"/>
      <c r="E27" s="39" t="s">
        <v>135</v>
      </c>
      <c r="F27" s="39" t="s">
        <v>158</v>
      </c>
    </row>
    <row r="28" spans="2:6">
      <c r="B28" s="38">
        <v>210</v>
      </c>
      <c r="C28" s="47" t="s">
        <v>159</v>
      </c>
      <c r="D28" s="43"/>
      <c r="E28" s="45" t="s">
        <v>120</v>
      </c>
      <c r="F28" s="45" t="s">
        <v>160</v>
      </c>
    </row>
    <row r="29" spans="2:6">
      <c r="B29" s="38">
        <v>220</v>
      </c>
      <c r="C29" s="47" t="s">
        <v>161</v>
      </c>
      <c r="D29" s="43"/>
      <c r="E29" s="39" t="s">
        <v>120</v>
      </c>
      <c r="F29" s="39" t="s">
        <v>162</v>
      </c>
    </row>
    <row r="30" spans="2:6">
      <c r="B30" s="38">
        <v>230</v>
      </c>
      <c r="C30" s="47" t="s">
        <v>163</v>
      </c>
      <c r="D30" s="43"/>
      <c r="E30" s="39" t="s">
        <v>120</v>
      </c>
      <c r="F30" s="39" t="s">
        <v>164</v>
      </c>
    </row>
    <row r="31" spans="2:6">
      <c r="B31" s="38">
        <v>240</v>
      </c>
      <c r="C31" s="47" t="s">
        <v>165</v>
      </c>
      <c r="D31" s="43"/>
      <c r="E31" s="39" t="s">
        <v>120</v>
      </c>
      <c r="F31" s="39" t="s">
        <v>166</v>
      </c>
    </row>
    <row r="32" spans="2:6">
      <c r="B32" s="38">
        <v>250</v>
      </c>
      <c r="C32" s="47" t="s">
        <v>167</v>
      </c>
      <c r="D32" s="43"/>
      <c r="E32" s="39" t="s">
        <v>120</v>
      </c>
      <c r="F32" s="39" t="s">
        <v>168</v>
      </c>
    </row>
    <row r="33" spans="2:6">
      <c r="B33" s="38">
        <v>260</v>
      </c>
      <c r="C33" s="47" t="s">
        <v>169</v>
      </c>
      <c r="D33" s="43"/>
      <c r="E33" s="39" t="s">
        <v>120</v>
      </c>
      <c r="F33" s="39" t="s">
        <v>170</v>
      </c>
    </row>
    <row r="34" spans="2:6">
      <c r="B34" s="38">
        <v>270</v>
      </c>
      <c r="C34" s="47" t="s">
        <v>171</v>
      </c>
      <c r="D34" s="43"/>
      <c r="E34" s="39" t="s">
        <v>120</v>
      </c>
      <c r="F34" s="39" t="s">
        <v>172</v>
      </c>
    </row>
    <row r="35" spans="2:6">
      <c r="B35" s="38">
        <v>280</v>
      </c>
      <c r="C35" s="47" t="s">
        <v>173</v>
      </c>
      <c r="D35" s="43"/>
      <c r="E35" s="39" t="s">
        <v>120</v>
      </c>
      <c r="F35" s="45" t="s">
        <v>174</v>
      </c>
    </row>
    <row r="36" spans="2:6">
      <c r="B36" s="38">
        <v>290</v>
      </c>
      <c r="C36" s="47" t="s">
        <v>175</v>
      </c>
      <c r="D36" s="43"/>
      <c r="E36" s="39" t="s">
        <v>120</v>
      </c>
      <c r="F36" s="39" t="s">
        <v>176</v>
      </c>
    </row>
    <row r="37" spans="2:6">
      <c r="B37" s="38">
        <v>300</v>
      </c>
      <c r="C37" s="47" t="s">
        <v>177</v>
      </c>
      <c r="D37" s="43" t="str">
        <f>+B37&amp;"="&amp;B24&amp;"+"&amp;B25&amp;"+"&amp;B26&amp;"+"&amp;B27&amp;"+"&amp;B28&amp;"+"&amp;B29&amp;"+"&amp;B30&amp;"+"&amp;B31&amp;"+"&amp;B32&amp;"+"&amp;B33&amp;"+"&amp;B34&amp;"+"&amp;B35&amp;"+"&amp;B36</f>
        <v>300=170+180+190+200+210+220+230+240+250+260+270+280+290</v>
      </c>
      <c r="E37" s="39" t="s">
        <v>120</v>
      </c>
      <c r="F37" s="39" t="s">
        <v>178</v>
      </c>
    </row>
    <row r="38" spans="2:6">
      <c r="B38" s="38">
        <v>310</v>
      </c>
      <c r="C38" s="88" t="s">
        <v>481</v>
      </c>
      <c r="D38" s="89" t="str">
        <f>+B38&amp;"="&amp;B22&amp;"+"&amp;B37</f>
        <v>310=150+300</v>
      </c>
      <c r="E38" s="89" t="s">
        <v>12</v>
      </c>
      <c r="F38" s="91" t="s">
        <v>482</v>
      </c>
    </row>
    <row r="39" spans="2:6">
      <c r="B39" s="38">
        <v>320</v>
      </c>
      <c r="C39" s="88" t="s">
        <v>483</v>
      </c>
      <c r="D39" s="89"/>
      <c r="E39" s="91" t="s">
        <v>12</v>
      </c>
      <c r="F39" s="89" t="s">
        <v>484</v>
      </c>
    </row>
    <row r="40" spans="2:6">
      <c r="B40" s="38">
        <v>330</v>
      </c>
      <c r="C40" s="92" t="s">
        <v>485</v>
      </c>
      <c r="D40" s="93"/>
      <c r="E40" s="91" t="s">
        <v>12</v>
      </c>
      <c r="F40" s="89" t="s">
        <v>486</v>
      </c>
    </row>
    <row r="41" spans="2:6">
      <c r="B41" s="38">
        <v>340</v>
      </c>
      <c r="C41" s="94" t="s">
        <v>487</v>
      </c>
      <c r="D41" s="93"/>
      <c r="E41" s="91" t="s">
        <v>12</v>
      </c>
      <c r="F41" s="95" t="s">
        <v>488</v>
      </c>
    </row>
    <row r="42" spans="2:6">
      <c r="B42" s="38">
        <v>350</v>
      </c>
      <c r="C42" s="94" t="s">
        <v>489</v>
      </c>
      <c r="D42" s="93"/>
      <c r="E42" s="91" t="s">
        <v>12</v>
      </c>
      <c r="F42" s="95" t="s">
        <v>490</v>
      </c>
    </row>
    <row r="43" spans="2:6">
      <c r="B43" s="38">
        <v>360</v>
      </c>
      <c r="C43" s="94" t="s">
        <v>491</v>
      </c>
      <c r="D43" s="93"/>
      <c r="E43" s="91" t="s">
        <v>12</v>
      </c>
      <c r="F43" s="95" t="s">
        <v>492</v>
      </c>
    </row>
    <row r="44" spans="2:6">
      <c r="B44" s="38">
        <v>370</v>
      </c>
      <c r="C44" s="94" t="s">
        <v>493</v>
      </c>
      <c r="D44" s="93"/>
      <c r="E44" s="91" t="s">
        <v>12</v>
      </c>
      <c r="F44" s="96" t="s">
        <v>494</v>
      </c>
    </row>
    <row r="45" spans="2:6">
      <c r="B45" s="38">
        <v>380</v>
      </c>
      <c r="C45" s="94" t="s">
        <v>495</v>
      </c>
      <c r="D45" s="93"/>
      <c r="E45" s="91" t="s">
        <v>12</v>
      </c>
      <c r="F45" s="96" t="s">
        <v>772</v>
      </c>
    </row>
    <row r="46" spans="2:6">
      <c r="B46" s="38">
        <v>390</v>
      </c>
      <c r="C46" s="94" t="s">
        <v>496</v>
      </c>
      <c r="D46" s="93"/>
      <c r="E46" s="91" t="s">
        <v>12</v>
      </c>
      <c r="F46" s="95" t="s">
        <v>497</v>
      </c>
    </row>
    <row r="47" spans="2:6">
      <c r="B47" s="38">
        <v>400</v>
      </c>
      <c r="C47" s="94" t="s">
        <v>498</v>
      </c>
      <c r="D47" s="93"/>
      <c r="E47" s="91" t="s">
        <v>12</v>
      </c>
      <c r="F47" s="95" t="s">
        <v>499</v>
      </c>
    </row>
    <row r="48" spans="2:6">
      <c r="B48" s="38">
        <v>410</v>
      </c>
      <c r="C48" s="94" t="s">
        <v>500</v>
      </c>
      <c r="D48" s="93"/>
      <c r="E48" s="91" t="s">
        <v>12</v>
      </c>
      <c r="F48" s="96" t="s">
        <v>501</v>
      </c>
    </row>
    <row r="49" spans="2:6">
      <c r="B49" s="38">
        <v>420</v>
      </c>
      <c r="C49" s="94" t="s">
        <v>502</v>
      </c>
      <c r="D49" s="93"/>
      <c r="E49" s="91" t="s">
        <v>12</v>
      </c>
      <c r="F49" s="96" t="s">
        <v>503</v>
      </c>
    </row>
    <row r="50" spans="2:6">
      <c r="B50" s="38">
        <v>430</v>
      </c>
      <c r="C50" s="94" t="s">
        <v>504</v>
      </c>
      <c r="D50" s="93"/>
      <c r="E50" s="91" t="s">
        <v>12</v>
      </c>
      <c r="F50" s="96" t="s">
        <v>505</v>
      </c>
    </row>
    <row r="51" spans="2:6">
      <c r="B51" s="38">
        <v>440</v>
      </c>
      <c r="C51" s="94" t="s">
        <v>506</v>
      </c>
      <c r="D51" s="93"/>
      <c r="E51" s="91" t="s">
        <v>12</v>
      </c>
      <c r="F51" s="96" t="s">
        <v>507</v>
      </c>
    </row>
    <row r="52" spans="2:6">
      <c r="B52" s="38">
        <v>450</v>
      </c>
      <c r="C52" s="94" t="s">
        <v>508</v>
      </c>
      <c r="D52" s="93"/>
      <c r="E52" s="91" t="s">
        <v>12</v>
      </c>
      <c r="F52" s="96" t="s">
        <v>509</v>
      </c>
    </row>
    <row r="53" spans="2:6">
      <c r="B53" s="38">
        <v>460</v>
      </c>
      <c r="C53" s="94" t="s">
        <v>510</v>
      </c>
      <c r="D53" s="93"/>
      <c r="E53" s="91" t="s">
        <v>12</v>
      </c>
      <c r="F53" s="96" t="s">
        <v>511</v>
      </c>
    </row>
    <row r="54" spans="2:6">
      <c r="B54" s="38">
        <v>470</v>
      </c>
      <c r="C54" s="94" t="s">
        <v>512</v>
      </c>
      <c r="D54" s="89" t="str">
        <f>+B54&amp;"="&amp;B40&amp;"+"&amp;B41&amp;"+"&amp;B42&amp;"+"&amp;B43&amp;"+"&amp;B44&amp;"+"&amp;B45&amp;"+"&amp;B46&amp;"+"&amp;B47&amp;"+"&amp;B48&amp;"+"&amp;B49&amp;"+"&amp;B50&amp;"+"&amp;B51&amp;"+"&amp;B52&amp;"+"&amp;B53</f>
        <v>470=330+340+350+360+370+380+390+400+410+420+430+440+450+460</v>
      </c>
      <c r="E54" s="91" t="s">
        <v>12</v>
      </c>
      <c r="F54" s="96" t="s">
        <v>513</v>
      </c>
    </row>
    <row r="55" spans="2:6">
      <c r="B55" s="38">
        <v>480</v>
      </c>
      <c r="C55" s="44" t="s">
        <v>179</v>
      </c>
      <c r="D55" s="43" t="str">
        <f>+B55&amp;"="&amp;B38&amp;"+"&amp;B54</f>
        <v>480=310+470</v>
      </c>
      <c r="E55" s="39" t="s">
        <v>120</v>
      </c>
      <c r="F55" s="39" t="s">
        <v>180</v>
      </c>
    </row>
    <row r="56" spans="2:6">
      <c r="B56" s="38">
        <v>490</v>
      </c>
      <c r="C56" s="46" t="s">
        <v>181</v>
      </c>
      <c r="D56" s="43"/>
      <c r="E56" s="39" t="s">
        <v>120</v>
      </c>
      <c r="F56" s="39" t="s">
        <v>182</v>
      </c>
    </row>
    <row r="57" spans="2:6">
      <c r="B57" s="38">
        <v>500</v>
      </c>
      <c r="C57" s="41" t="s">
        <v>183</v>
      </c>
      <c r="D57" s="43"/>
      <c r="E57" s="39" t="s">
        <v>120</v>
      </c>
      <c r="F57" s="39" t="s">
        <v>184</v>
      </c>
    </row>
    <row r="58" spans="2:6">
      <c r="B58" s="38">
        <v>510</v>
      </c>
      <c r="C58" s="92" t="s">
        <v>479</v>
      </c>
      <c r="D58" s="93"/>
      <c r="E58" s="91" t="s">
        <v>12</v>
      </c>
      <c r="F58" s="89" t="s">
        <v>514</v>
      </c>
    </row>
    <row r="59" spans="2:6">
      <c r="B59" s="38">
        <v>520</v>
      </c>
      <c r="C59" s="47" t="s">
        <v>185</v>
      </c>
      <c r="D59" s="43"/>
      <c r="E59" s="39" t="s">
        <v>120</v>
      </c>
      <c r="F59" s="39" t="s">
        <v>186</v>
      </c>
    </row>
    <row r="60" spans="2:6">
      <c r="B60" s="38">
        <v>530</v>
      </c>
      <c r="C60" s="97" t="s">
        <v>187</v>
      </c>
      <c r="D60" s="43"/>
      <c r="E60" s="39" t="s">
        <v>120</v>
      </c>
      <c r="F60" s="39" t="s">
        <v>188</v>
      </c>
    </row>
    <row r="61" spans="2:6">
      <c r="B61" s="38">
        <v>540</v>
      </c>
      <c r="C61" s="97" t="s">
        <v>189</v>
      </c>
      <c r="D61" s="43"/>
      <c r="E61" s="39" t="s">
        <v>120</v>
      </c>
      <c r="F61" s="39" t="s">
        <v>190</v>
      </c>
    </row>
    <row r="62" spans="2:6">
      <c r="B62" s="38">
        <v>550</v>
      </c>
      <c r="C62" s="97" t="s">
        <v>191</v>
      </c>
      <c r="D62" s="43"/>
      <c r="E62" s="39" t="s">
        <v>135</v>
      </c>
      <c r="F62" s="39" t="s">
        <v>192</v>
      </c>
    </row>
    <row r="63" spans="2:6">
      <c r="B63" s="38">
        <v>560</v>
      </c>
      <c r="C63" s="97" t="s">
        <v>193</v>
      </c>
      <c r="D63" s="43"/>
      <c r="E63" s="39" t="s">
        <v>120</v>
      </c>
      <c r="F63" s="39" t="s">
        <v>194</v>
      </c>
    </row>
    <row r="64" spans="2:6">
      <c r="B64" s="38">
        <v>570</v>
      </c>
      <c r="C64" s="97" t="s">
        <v>195</v>
      </c>
      <c r="D64" s="43"/>
      <c r="E64" s="39" t="s">
        <v>120</v>
      </c>
      <c r="F64" s="39" t="s">
        <v>196</v>
      </c>
    </row>
    <row r="65" spans="2:6">
      <c r="B65" s="38">
        <v>580</v>
      </c>
      <c r="C65" s="97" t="s">
        <v>197</v>
      </c>
      <c r="D65" s="43"/>
      <c r="E65" s="39" t="s">
        <v>120</v>
      </c>
      <c r="F65" s="39" t="s">
        <v>198</v>
      </c>
    </row>
    <row r="66" spans="2:6">
      <c r="B66" s="38">
        <v>590</v>
      </c>
      <c r="C66" s="97" t="s">
        <v>199</v>
      </c>
      <c r="D66" s="43"/>
      <c r="E66" s="39" t="s">
        <v>120</v>
      </c>
      <c r="F66" s="39" t="s">
        <v>200</v>
      </c>
    </row>
    <row r="67" spans="2:6">
      <c r="B67" s="38">
        <v>600</v>
      </c>
      <c r="C67" s="97" t="s">
        <v>201</v>
      </c>
      <c r="D67" s="43" t="str">
        <f>+B67&amp;"="&amp;B60&amp;"+"&amp;B61&amp;"+"&amp;B62&amp;"+"&amp;B63&amp;"+"&amp;B64&amp;"+"&amp;B65&amp;"+"&amp;B66</f>
        <v>600=530+540+550+560+570+580+590</v>
      </c>
      <c r="E67" s="39" t="s">
        <v>120</v>
      </c>
      <c r="F67" s="39" t="s">
        <v>202</v>
      </c>
    </row>
    <row r="68" spans="2:6">
      <c r="B68" s="38">
        <v>610</v>
      </c>
      <c r="C68" s="97" t="s">
        <v>203</v>
      </c>
      <c r="D68" s="43"/>
      <c r="E68" s="39" t="s">
        <v>120</v>
      </c>
      <c r="F68" s="39" t="s">
        <v>204</v>
      </c>
    </row>
    <row r="69" spans="2:6">
      <c r="B69" s="38">
        <v>620</v>
      </c>
      <c r="C69" s="97" t="s">
        <v>205</v>
      </c>
      <c r="D69" s="43" t="str">
        <f>+B69&amp;"="&amp;B67&amp;"+"&amp;B68</f>
        <v>620=600+610</v>
      </c>
      <c r="E69" s="39" t="s">
        <v>120</v>
      </c>
      <c r="F69" s="39" t="s">
        <v>206</v>
      </c>
    </row>
    <row r="70" spans="2:6">
      <c r="B70" s="38">
        <v>630</v>
      </c>
      <c r="C70" s="47" t="s">
        <v>207</v>
      </c>
      <c r="D70" s="43"/>
      <c r="E70" s="39" t="s">
        <v>120</v>
      </c>
      <c r="F70" s="43" t="s">
        <v>208</v>
      </c>
    </row>
    <row r="71" spans="2:6">
      <c r="B71" s="38">
        <v>640</v>
      </c>
      <c r="C71" s="97" t="s">
        <v>209</v>
      </c>
      <c r="D71" s="43"/>
      <c r="E71" s="39" t="s">
        <v>120</v>
      </c>
      <c r="F71" s="39" t="s">
        <v>210</v>
      </c>
    </row>
    <row r="72" spans="2:6">
      <c r="B72" s="38">
        <v>650</v>
      </c>
      <c r="C72" s="97" t="s">
        <v>211</v>
      </c>
      <c r="D72" s="43"/>
      <c r="E72" s="39" t="s">
        <v>120</v>
      </c>
      <c r="F72" s="39" t="s">
        <v>212</v>
      </c>
    </row>
    <row r="73" spans="2:6">
      <c r="B73" s="38">
        <v>660</v>
      </c>
      <c r="C73" s="97" t="s">
        <v>213</v>
      </c>
      <c r="D73" s="43"/>
      <c r="E73" s="39" t="s">
        <v>135</v>
      </c>
      <c r="F73" s="39" t="s">
        <v>214</v>
      </c>
    </row>
    <row r="74" spans="2:6">
      <c r="B74" s="38">
        <v>670</v>
      </c>
      <c r="C74" s="97" t="s">
        <v>215</v>
      </c>
      <c r="D74" s="43"/>
      <c r="E74" s="39" t="s">
        <v>120</v>
      </c>
      <c r="F74" s="39" t="s">
        <v>216</v>
      </c>
    </row>
    <row r="75" spans="2:6">
      <c r="B75" s="38">
        <v>680</v>
      </c>
      <c r="C75" s="97" t="s">
        <v>217</v>
      </c>
      <c r="D75" s="43"/>
      <c r="E75" s="39" t="s">
        <v>120</v>
      </c>
      <c r="F75" s="39" t="s">
        <v>218</v>
      </c>
    </row>
    <row r="76" spans="2:6">
      <c r="B76" s="38">
        <v>690</v>
      </c>
      <c r="C76" s="97" t="s">
        <v>219</v>
      </c>
      <c r="D76" s="43"/>
      <c r="E76" s="39" t="s">
        <v>120</v>
      </c>
      <c r="F76" s="39" t="s">
        <v>220</v>
      </c>
    </row>
    <row r="77" spans="2:6">
      <c r="B77" s="38">
        <v>700</v>
      </c>
      <c r="C77" s="97" t="s">
        <v>221</v>
      </c>
      <c r="D77" s="43"/>
      <c r="E77" s="39" t="s">
        <v>120</v>
      </c>
      <c r="F77" s="39" t="s">
        <v>222</v>
      </c>
    </row>
    <row r="78" spans="2:6">
      <c r="B78" s="38">
        <v>710</v>
      </c>
      <c r="C78" s="97" t="s">
        <v>223</v>
      </c>
      <c r="D78" s="43"/>
      <c r="E78" s="39" t="s">
        <v>120</v>
      </c>
      <c r="F78" s="39" t="s">
        <v>224</v>
      </c>
    </row>
    <row r="79" spans="2:6">
      <c r="B79" s="38">
        <v>720</v>
      </c>
      <c r="C79" s="97" t="s">
        <v>225</v>
      </c>
      <c r="D79" s="43" t="str">
        <f>+B79&amp;"="&amp;B71&amp;"+"&amp;B72&amp;"+"&amp;B73&amp;"+"&amp;B74&amp;"+"&amp;B75&amp;"+"&amp;B76&amp;"+"&amp;B77&amp;"+"&amp;B78</f>
        <v>720=640+650+660+670+680+690+700+710</v>
      </c>
      <c r="E79" s="39" t="s">
        <v>120</v>
      </c>
      <c r="F79" s="39" t="s">
        <v>226</v>
      </c>
    </row>
    <row r="80" spans="2:6">
      <c r="B80" s="38">
        <v>730</v>
      </c>
      <c r="C80" s="92" t="s">
        <v>515</v>
      </c>
      <c r="D80" s="93" t="str">
        <f>+B80&amp;"="&amp;B69&amp;"+"&amp;B79</f>
        <v>730=620+720</v>
      </c>
      <c r="E80" s="89" t="s">
        <v>12</v>
      </c>
      <c r="F80" s="91" t="s">
        <v>516</v>
      </c>
    </row>
    <row r="81" spans="2:6">
      <c r="B81" s="38">
        <v>740</v>
      </c>
      <c r="C81" s="92" t="s">
        <v>517</v>
      </c>
      <c r="D81" s="93"/>
      <c r="E81" s="91" t="s">
        <v>12</v>
      </c>
      <c r="F81" s="89" t="s">
        <v>518</v>
      </c>
    </row>
    <row r="82" spans="2:6">
      <c r="B82" s="38">
        <v>750</v>
      </c>
      <c r="C82" s="98" t="s">
        <v>519</v>
      </c>
      <c r="D82" s="93"/>
      <c r="E82" s="95" t="s">
        <v>12</v>
      </c>
      <c r="F82" s="95" t="s">
        <v>520</v>
      </c>
    </row>
    <row r="83" spans="2:6">
      <c r="B83" s="38">
        <v>760</v>
      </c>
      <c r="C83" s="98" t="s">
        <v>521</v>
      </c>
      <c r="D83" s="93"/>
      <c r="E83" s="95" t="s">
        <v>12</v>
      </c>
      <c r="F83" s="95" t="s">
        <v>522</v>
      </c>
    </row>
    <row r="84" spans="2:6">
      <c r="B84" s="38">
        <v>770</v>
      </c>
      <c r="C84" s="98" t="s">
        <v>523</v>
      </c>
      <c r="D84" s="93"/>
      <c r="E84" s="95" t="s">
        <v>12</v>
      </c>
      <c r="F84" s="95" t="s">
        <v>524</v>
      </c>
    </row>
    <row r="85" spans="2:6">
      <c r="B85" s="38">
        <v>780</v>
      </c>
      <c r="C85" s="98" t="s">
        <v>525</v>
      </c>
      <c r="D85" s="93"/>
      <c r="E85" s="95" t="s">
        <v>12</v>
      </c>
      <c r="F85" s="96" t="s">
        <v>526</v>
      </c>
    </row>
    <row r="86" spans="2:6">
      <c r="B86" s="38">
        <v>790</v>
      </c>
      <c r="C86" s="98" t="s">
        <v>527</v>
      </c>
      <c r="D86" s="93"/>
      <c r="E86" s="95" t="s">
        <v>12</v>
      </c>
      <c r="F86" s="96" t="s">
        <v>528</v>
      </c>
    </row>
    <row r="87" spans="2:6">
      <c r="B87" s="38">
        <v>800</v>
      </c>
      <c r="C87" s="98" t="s">
        <v>506</v>
      </c>
      <c r="D87" s="93"/>
      <c r="E87" s="95" t="s">
        <v>12</v>
      </c>
      <c r="F87" s="96" t="s">
        <v>529</v>
      </c>
    </row>
    <row r="88" spans="2:6">
      <c r="B88" s="38">
        <v>810</v>
      </c>
      <c r="C88" s="98" t="s">
        <v>508</v>
      </c>
      <c r="D88" s="93"/>
      <c r="E88" s="95" t="s">
        <v>12</v>
      </c>
      <c r="F88" s="96" t="s">
        <v>530</v>
      </c>
    </row>
    <row r="89" spans="2:6">
      <c r="B89" s="38">
        <v>820</v>
      </c>
      <c r="C89" s="98" t="s">
        <v>531</v>
      </c>
      <c r="D89" s="93"/>
      <c r="E89" s="95" t="s">
        <v>12</v>
      </c>
      <c r="F89" s="96" t="s">
        <v>532</v>
      </c>
    </row>
    <row r="90" spans="2:6">
      <c r="B90" s="38">
        <v>830</v>
      </c>
      <c r="C90" s="98" t="s">
        <v>533</v>
      </c>
      <c r="D90" s="93"/>
      <c r="E90" s="95" t="s">
        <v>12</v>
      </c>
      <c r="F90" s="96" t="s">
        <v>534</v>
      </c>
    </row>
    <row r="91" spans="2:6">
      <c r="B91" s="38">
        <v>840</v>
      </c>
      <c r="C91" s="98" t="s">
        <v>535</v>
      </c>
      <c r="D91" s="89" t="str">
        <f>+B91&amp;"="&amp;B82&amp;"+"&amp;B83&amp;"+"&amp;B84&amp;"+"&amp;B85&amp;"+"&amp;B86&amp;"+"&amp;B87&amp;"+"&amp;B88&amp;"+"&amp;B89&amp;"+"&amp;B90</f>
        <v>840=750+760+770+780+790+800+810+820+830</v>
      </c>
      <c r="E91" s="95" t="s">
        <v>12</v>
      </c>
      <c r="F91" s="96" t="s">
        <v>536</v>
      </c>
    </row>
    <row r="92" spans="2:6">
      <c r="B92" s="38">
        <v>850</v>
      </c>
      <c r="C92" s="42" t="s">
        <v>227</v>
      </c>
      <c r="D92" s="43" t="str">
        <f>+B92&amp;"="&amp;B80&amp;"+"&amp;B91</f>
        <v>850=730+840</v>
      </c>
      <c r="E92" s="39" t="s">
        <v>120</v>
      </c>
      <c r="F92" s="39" t="s">
        <v>228</v>
      </c>
    </row>
    <row r="93" spans="2:6">
      <c r="B93" s="38">
        <v>860</v>
      </c>
      <c r="C93" s="41" t="s">
        <v>229</v>
      </c>
      <c r="D93" s="43"/>
      <c r="E93" s="39" t="s">
        <v>120</v>
      </c>
      <c r="F93" s="39" t="s">
        <v>230</v>
      </c>
    </row>
    <row r="94" spans="2:6">
      <c r="B94" s="38">
        <v>870</v>
      </c>
      <c r="C94" s="42" t="s">
        <v>231</v>
      </c>
      <c r="D94" s="43"/>
      <c r="E94" s="39" t="s">
        <v>120</v>
      </c>
      <c r="F94" s="39" t="s">
        <v>232</v>
      </c>
    </row>
    <row r="95" spans="2:6">
      <c r="B95" s="38">
        <v>880</v>
      </c>
      <c r="C95" s="42" t="s">
        <v>233</v>
      </c>
      <c r="D95" s="43"/>
      <c r="E95" s="39" t="s">
        <v>135</v>
      </c>
      <c r="F95" s="39" t="s">
        <v>234</v>
      </c>
    </row>
    <row r="96" spans="2:6">
      <c r="B96" s="38">
        <v>890</v>
      </c>
      <c r="C96" s="42" t="s">
        <v>235</v>
      </c>
      <c r="D96" s="43"/>
      <c r="E96" s="39" t="s">
        <v>120</v>
      </c>
      <c r="F96" s="39" t="s">
        <v>236</v>
      </c>
    </row>
    <row r="97" spans="2:6">
      <c r="B97" s="38">
        <v>900</v>
      </c>
      <c r="C97" s="42" t="s">
        <v>237</v>
      </c>
      <c r="D97" s="43"/>
      <c r="E97" s="39" t="s">
        <v>120</v>
      </c>
      <c r="F97" s="39" t="s">
        <v>238</v>
      </c>
    </row>
    <row r="98" spans="2:6">
      <c r="B98" s="38">
        <v>910</v>
      </c>
      <c r="C98" s="42" t="s">
        <v>239</v>
      </c>
      <c r="D98" s="43"/>
      <c r="E98" s="39" t="s">
        <v>120</v>
      </c>
      <c r="F98" s="39" t="s">
        <v>240</v>
      </c>
    </row>
    <row r="99" spans="2:6">
      <c r="B99" s="38">
        <v>920</v>
      </c>
      <c r="C99" s="42" t="s">
        <v>241</v>
      </c>
      <c r="D99" s="48"/>
      <c r="E99" s="45" t="s">
        <v>120</v>
      </c>
      <c r="F99" s="45" t="s">
        <v>242</v>
      </c>
    </row>
    <row r="100" spans="2:6">
      <c r="B100" s="38">
        <v>930</v>
      </c>
      <c r="C100" s="42" t="s">
        <v>243</v>
      </c>
      <c r="D100" s="43" t="str">
        <f>+B100&amp;"="&amp;B94&amp;"+"&amp;B95&amp;"+"&amp;B96&amp;"-"&amp;B97&amp;"+"&amp;B98&amp;"+"&amp;B99</f>
        <v>930=870+880+890-900+910+920</v>
      </c>
      <c r="E100" s="39" t="s">
        <v>120</v>
      </c>
      <c r="F100" s="39" t="s">
        <v>244</v>
      </c>
    </row>
    <row r="101" spans="2:6">
      <c r="B101" s="38">
        <v>940</v>
      </c>
      <c r="C101" s="42" t="s">
        <v>245</v>
      </c>
      <c r="D101" s="43"/>
      <c r="E101" s="39" t="s">
        <v>120</v>
      </c>
      <c r="F101" s="39" t="s">
        <v>246</v>
      </c>
    </row>
    <row r="102" spans="2:6">
      <c r="B102" s="38">
        <v>950</v>
      </c>
      <c r="C102" s="42" t="s">
        <v>247</v>
      </c>
      <c r="D102" s="43" t="str">
        <f>+B102&amp;"="&amp;B100&amp;"+"&amp;B101</f>
        <v>950=930+940</v>
      </c>
      <c r="E102" s="39" t="s">
        <v>120</v>
      </c>
      <c r="F102" s="39" t="s">
        <v>248</v>
      </c>
    </row>
    <row r="103" spans="2:6">
      <c r="B103" s="38">
        <v>960</v>
      </c>
      <c r="C103" s="44" t="s">
        <v>249</v>
      </c>
      <c r="D103" s="43" t="str">
        <f>+B103&amp;"="&amp;B92&amp;"+"&amp;B102</f>
        <v>960=850+950</v>
      </c>
      <c r="E103" s="39" t="s">
        <v>120</v>
      </c>
      <c r="F103" s="39" t="s">
        <v>250</v>
      </c>
    </row>
    <row r="104" spans="2:6">
      <c r="B104" s="49" t="s">
        <v>55</v>
      </c>
      <c r="C104" s="50"/>
      <c r="D104" s="50"/>
      <c r="E104" s="51" t="s">
        <v>55</v>
      </c>
      <c r="F104" s="52"/>
    </row>
  </sheetData>
  <hyperlinks>
    <hyperlink ref="C4" r:id="rId1" display="http://www.svs.cl/cl/fr/ci/role/ias-1_2007-09_role-210000"/>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G76"/>
  <sheetViews>
    <sheetView tabSelected="1" workbookViewId="0">
      <selection activeCell="F3" sqref="F3"/>
    </sheetView>
  </sheetViews>
  <sheetFormatPr baseColWidth="10" defaultRowHeight="15"/>
  <cols>
    <col min="2" max="2" width="12.28515625" customWidth="1"/>
    <col min="3" max="3" width="75.42578125" bestFit="1" customWidth="1"/>
    <col min="4" max="4" width="54.7109375" customWidth="1"/>
    <col min="5" max="5" width="35.140625" customWidth="1"/>
    <col min="7" max="7" width="66.85546875" customWidth="1"/>
  </cols>
  <sheetData>
    <row r="4" spans="2:7">
      <c r="B4" s="33" t="s">
        <v>111</v>
      </c>
      <c r="C4" s="34" t="str">
        <f>"http://www.svs.cl/cl/fr/hs/role/cl-hs_ias-1_"&amp;dts!D2&amp;"_role-310000"</f>
        <v>http://www.svs.cl/cl/fr/hs/role/cl-hs_ias-1_2016-03-31_role-310000</v>
      </c>
      <c r="D4" s="34" t="str">
        <f>"http://www.svs.cl/cl/fr/hs/role/cl-hs_ias-1_"&amp;dts!D2&amp;"_role-310001"</f>
        <v>http://www.svs.cl/cl/fr/hs/role/cl-hs_ias-1_2016-03-31_role-310001</v>
      </c>
    </row>
    <row r="5" spans="2:7">
      <c r="B5" s="33" t="s">
        <v>112</v>
      </c>
      <c r="C5" s="34" t="s">
        <v>251</v>
      </c>
      <c r="D5" s="53" t="s">
        <v>252</v>
      </c>
    </row>
    <row r="7" spans="2:7">
      <c r="B7" s="35" t="s">
        <v>114</v>
      </c>
      <c r="C7" s="36" t="s">
        <v>115</v>
      </c>
      <c r="D7" s="36" t="s">
        <v>116</v>
      </c>
      <c r="E7" s="36" t="s">
        <v>253</v>
      </c>
      <c r="F7" s="36" t="s">
        <v>117</v>
      </c>
      <c r="G7" s="37" t="s">
        <v>118</v>
      </c>
    </row>
    <row r="8" spans="2:7">
      <c r="B8" s="54">
        <v>10</v>
      </c>
      <c r="C8" s="55" t="s">
        <v>254</v>
      </c>
      <c r="D8" s="55"/>
      <c r="E8" s="55"/>
      <c r="F8" s="55" t="s">
        <v>120</v>
      </c>
      <c r="G8" s="56" t="s">
        <v>255</v>
      </c>
    </row>
    <row r="9" spans="2:7">
      <c r="B9" s="57">
        <v>20</v>
      </c>
      <c r="C9" s="40" t="s">
        <v>256</v>
      </c>
      <c r="D9" s="39"/>
      <c r="E9" s="39"/>
      <c r="F9" s="39" t="s">
        <v>120</v>
      </c>
      <c r="G9" s="58" t="s">
        <v>257</v>
      </c>
    </row>
    <row r="10" spans="2:7">
      <c r="B10" s="57">
        <v>30</v>
      </c>
      <c r="C10" s="99" t="s">
        <v>479</v>
      </c>
      <c r="D10" s="89"/>
      <c r="E10" s="89"/>
      <c r="F10" s="89" t="s">
        <v>12</v>
      </c>
      <c r="G10" s="89" t="s">
        <v>537</v>
      </c>
    </row>
    <row r="11" spans="2:7">
      <c r="B11" s="57">
        <v>40</v>
      </c>
      <c r="C11" s="44" t="s">
        <v>258</v>
      </c>
      <c r="D11" s="39"/>
      <c r="E11" s="39"/>
      <c r="F11" s="39" t="s">
        <v>120</v>
      </c>
      <c r="G11" s="58" t="s">
        <v>259</v>
      </c>
    </row>
    <row r="12" spans="2:7">
      <c r="B12" s="59">
        <v>50</v>
      </c>
      <c r="C12" s="60" t="s">
        <v>260</v>
      </c>
      <c r="D12" s="39"/>
      <c r="E12" s="39"/>
      <c r="F12" s="39" t="s">
        <v>120</v>
      </c>
      <c r="G12" s="58" t="s">
        <v>261</v>
      </c>
    </row>
    <row r="13" spans="2:7">
      <c r="B13" s="57">
        <v>60</v>
      </c>
      <c r="C13" s="44" t="s">
        <v>262</v>
      </c>
      <c r="D13" s="43" t="str">
        <f>+B13&amp;igual&amp;B11&amp;"-"&amp;B12</f>
        <v>60 = 40-50</v>
      </c>
      <c r="E13" s="39"/>
      <c r="F13" s="39" t="s">
        <v>120</v>
      </c>
      <c r="G13" s="58" t="s">
        <v>263</v>
      </c>
    </row>
    <row r="14" spans="2:7">
      <c r="B14" s="57">
        <v>70</v>
      </c>
      <c r="C14" s="44" t="s">
        <v>264</v>
      </c>
      <c r="D14" s="43"/>
      <c r="E14" s="39"/>
      <c r="F14" s="39" t="s">
        <v>120</v>
      </c>
      <c r="G14" s="58" t="s">
        <v>265</v>
      </c>
    </row>
    <row r="15" spans="2:7">
      <c r="B15" s="57">
        <v>80</v>
      </c>
      <c r="C15" s="60" t="s">
        <v>266</v>
      </c>
      <c r="D15" s="43"/>
      <c r="E15" s="39"/>
      <c r="F15" s="39" t="s">
        <v>120</v>
      </c>
      <c r="G15" s="58" t="s">
        <v>267</v>
      </c>
    </row>
    <row r="16" spans="2:7">
      <c r="B16" s="59">
        <v>90</v>
      </c>
      <c r="C16" s="60" t="s">
        <v>268</v>
      </c>
      <c r="D16" s="43"/>
      <c r="E16" s="39"/>
      <c r="F16" s="39" t="s">
        <v>120</v>
      </c>
      <c r="G16" s="58" t="s">
        <v>269</v>
      </c>
    </row>
    <row r="17" spans="2:7">
      <c r="B17" s="57">
        <v>100</v>
      </c>
      <c r="C17" s="60" t="s">
        <v>270</v>
      </c>
      <c r="D17" s="43"/>
      <c r="E17" s="39"/>
      <c r="F17" s="39" t="s">
        <v>120</v>
      </c>
      <c r="G17" s="58" t="s">
        <v>271</v>
      </c>
    </row>
    <row r="18" spans="2:7">
      <c r="B18" s="57">
        <v>110</v>
      </c>
      <c r="C18" s="44" t="s">
        <v>272</v>
      </c>
      <c r="D18" s="43"/>
      <c r="E18" s="39"/>
      <c r="F18" s="39" t="s">
        <v>120</v>
      </c>
      <c r="G18" s="58" t="s">
        <v>273</v>
      </c>
    </row>
    <row r="19" spans="2:7">
      <c r="B19" s="57">
        <v>120</v>
      </c>
      <c r="C19" s="44" t="s">
        <v>274</v>
      </c>
      <c r="D19" s="43" t="str">
        <f>+B19&amp;"="&amp;B13&amp;"+"&amp;B14&amp;"-"&amp;B15&amp;"-"&amp;B16&amp;"-"&amp;B17&amp;"+"&amp;B18</f>
        <v>120=60+70-80-90-100+110</v>
      </c>
      <c r="E19" s="39"/>
      <c r="F19" s="39" t="s">
        <v>120</v>
      </c>
      <c r="G19" s="58" t="s">
        <v>275</v>
      </c>
    </row>
    <row r="20" spans="2:7" ht="21">
      <c r="B20" s="59">
        <v>130</v>
      </c>
      <c r="C20" s="41" t="s">
        <v>276</v>
      </c>
      <c r="D20" s="43"/>
      <c r="E20" s="39"/>
      <c r="F20" s="39" t="s">
        <v>120</v>
      </c>
      <c r="G20" s="61" t="s">
        <v>277</v>
      </c>
    </row>
    <row r="21" spans="2:7">
      <c r="B21" s="57">
        <v>140</v>
      </c>
      <c r="C21" s="44" t="s">
        <v>278</v>
      </c>
      <c r="D21" s="43"/>
      <c r="E21" s="39"/>
      <c r="F21" s="39" t="s">
        <v>120</v>
      </c>
      <c r="G21" s="58" t="s">
        <v>279</v>
      </c>
    </row>
    <row r="22" spans="2:7">
      <c r="B22" s="57">
        <v>150</v>
      </c>
      <c r="C22" s="60" t="s">
        <v>280</v>
      </c>
      <c r="D22" s="43"/>
      <c r="E22" s="39"/>
      <c r="F22" s="39" t="s">
        <v>120</v>
      </c>
      <c r="G22" s="58" t="s">
        <v>281</v>
      </c>
    </row>
    <row r="23" spans="2:7" ht="31.5">
      <c r="B23" s="57">
        <v>160</v>
      </c>
      <c r="C23" s="62" t="s">
        <v>282</v>
      </c>
      <c r="D23" s="43"/>
      <c r="E23" s="39"/>
      <c r="F23" s="63" t="s">
        <v>120</v>
      </c>
      <c r="G23" s="64" t="s">
        <v>283</v>
      </c>
    </row>
    <row r="24" spans="2:7" ht="21">
      <c r="B24" s="59">
        <v>170</v>
      </c>
      <c r="C24" s="41" t="s">
        <v>284</v>
      </c>
      <c r="D24" s="43"/>
      <c r="E24" s="39"/>
      <c r="F24" s="39" t="s">
        <v>120</v>
      </c>
      <c r="G24" s="58" t="s">
        <v>285</v>
      </c>
    </row>
    <row r="25" spans="2:7">
      <c r="B25" s="57">
        <v>180</v>
      </c>
      <c r="C25" s="65" t="s">
        <v>286</v>
      </c>
      <c r="D25" s="43"/>
      <c r="E25" s="39"/>
      <c r="F25" s="39" t="s">
        <v>135</v>
      </c>
      <c r="G25" s="58" t="s">
        <v>287</v>
      </c>
    </row>
    <row r="26" spans="2:7">
      <c r="B26" s="57">
        <v>190</v>
      </c>
      <c r="C26" s="65" t="s">
        <v>288</v>
      </c>
      <c r="D26" s="43"/>
      <c r="E26" s="39"/>
      <c r="F26" s="39" t="s">
        <v>135</v>
      </c>
      <c r="G26" s="58" t="s">
        <v>289</v>
      </c>
    </row>
    <row r="27" spans="2:7" ht="31.5">
      <c r="B27" s="57">
        <v>200</v>
      </c>
      <c r="C27" s="41" t="s">
        <v>290</v>
      </c>
      <c r="D27" s="43"/>
      <c r="E27" s="39"/>
      <c r="F27" s="39" t="s">
        <v>120</v>
      </c>
      <c r="G27" s="58" t="s">
        <v>291</v>
      </c>
    </row>
    <row r="28" spans="2:7" ht="42">
      <c r="B28" s="59">
        <v>210</v>
      </c>
      <c r="C28" s="66" t="s">
        <v>292</v>
      </c>
      <c r="D28" s="43"/>
      <c r="E28" s="39"/>
      <c r="F28" s="63" t="s">
        <v>120</v>
      </c>
      <c r="G28" s="64" t="s">
        <v>293</v>
      </c>
    </row>
    <row r="29" spans="2:7" ht="21">
      <c r="B29" s="57">
        <v>220</v>
      </c>
      <c r="C29" s="66" t="s">
        <v>294</v>
      </c>
      <c r="D29" s="43"/>
      <c r="E29" s="39"/>
      <c r="F29" s="63" t="s">
        <v>120</v>
      </c>
      <c r="G29" s="67" t="s">
        <v>295</v>
      </c>
    </row>
    <row r="30" spans="2:7">
      <c r="B30" s="57">
        <v>230</v>
      </c>
      <c r="C30" s="44" t="s">
        <v>296</v>
      </c>
      <c r="D30" s="39" t="str">
        <f>+B30&amp;"="&amp;B19&amp;"+"&amp;B20&amp;"+"&amp;B21&amp;"-"&amp;B22&amp;"-"&amp;B23&amp;"+"&amp;B24&amp;"+"&amp;B25&amp;"+"&amp;B26&amp;"+"&amp;B27&amp;"+"&amp;B28&amp;"+"&amp;B29</f>
        <v>230=120+130+140-150-160+170+180+190+200+210+220</v>
      </c>
      <c r="E30" s="39"/>
      <c r="F30" s="39" t="s">
        <v>120</v>
      </c>
      <c r="G30" s="58" t="s">
        <v>297</v>
      </c>
    </row>
    <row r="31" spans="2:7">
      <c r="B31" s="57">
        <v>240</v>
      </c>
      <c r="C31" s="60" t="s">
        <v>298</v>
      </c>
      <c r="D31" s="43"/>
      <c r="E31" s="39"/>
      <c r="F31" s="39" t="s">
        <v>120</v>
      </c>
      <c r="G31" s="58" t="s">
        <v>299</v>
      </c>
    </row>
    <row r="32" spans="2:7">
      <c r="B32" s="59">
        <v>250</v>
      </c>
      <c r="C32" s="44" t="s">
        <v>300</v>
      </c>
      <c r="D32" s="43" t="str">
        <f>+B32&amp;igual&amp;B30&amp;"-"&amp;B31</f>
        <v>250 = 230-240</v>
      </c>
      <c r="E32" s="39"/>
      <c r="F32" s="39" t="s">
        <v>120</v>
      </c>
      <c r="G32" s="58" t="s">
        <v>301</v>
      </c>
    </row>
    <row r="33" spans="2:7">
      <c r="B33" s="57">
        <v>260</v>
      </c>
      <c r="C33" s="44" t="s">
        <v>302</v>
      </c>
      <c r="D33" s="43"/>
      <c r="E33" s="39"/>
      <c r="F33" s="39" t="s">
        <v>120</v>
      </c>
      <c r="G33" s="58" t="s">
        <v>303</v>
      </c>
    </row>
    <row r="34" spans="2:7">
      <c r="B34" s="57">
        <v>270</v>
      </c>
      <c r="C34" s="100" t="s">
        <v>538</v>
      </c>
      <c r="D34" s="89" t="str">
        <f>+B34&amp;"="&amp;B32&amp;"+"&amp;+B33</f>
        <v>270=250+260</v>
      </c>
      <c r="E34" s="101"/>
      <c r="F34" s="89" t="s">
        <v>12</v>
      </c>
      <c r="G34" s="89" t="s">
        <v>539</v>
      </c>
    </row>
    <row r="35" spans="2:7">
      <c r="B35" s="57">
        <v>280</v>
      </c>
      <c r="C35" s="102" t="s">
        <v>540</v>
      </c>
      <c r="D35" s="93"/>
      <c r="E35" s="89"/>
      <c r="F35" s="89" t="s">
        <v>12</v>
      </c>
      <c r="G35" s="103" t="s">
        <v>541</v>
      </c>
    </row>
    <row r="36" spans="2:7">
      <c r="B36" s="59">
        <v>290</v>
      </c>
      <c r="C36" s="100" t="s">
        <v>542</v>
      </c>
      <c r="D36" s="93"/>
      <c r="E36" s="89"/>
      <c r="F36" s="89" t="s">
        <v>12</v>
      </c>
      <c r="G36" s="103" t="s">
        <v>543</v>
      </c>
    </row>
    <row r="37" spans="2:7">
      <c r="B37" s="57">
        <v>300</v>
      </c>
      <c r="C37" s="100" t="s">
        <v>544</v>
      </c>
      <c r="D37" s="93"/>
      <c r="E37" s="89"/>
      <c r="F37" s="89" t="s">
        <v>12</v>
      </c>
      <c r="G37" s="103" t="s">
        <v>545</v>
      </c>
    </row>
    <row r="38" spans="2:7">
      <c r="B38" s="57">
        <v>310</v>
      </c>
      <c r="C38" s="100" t="s">
        <v>546</v>
      </c>
      <c r="D38" s="89" t="str">
        <f>+B38&amp;"="&amp;B36&amp;"-"&amp;B37</f>
        <v>310=290-300</v>
      </c>
      <c r="E38" s="89"/>
      <c r="F38" s="89" t="s">
        <v>12</v>
      </c>
      <c r="G38" s="89" t="s">
        <v>547</v>
      </c>
    </row>
    <row r="39" spans="2:7">
      <c r="B39" s="57">
        <v>320</v>
      </c>
      <c r="C39" s="100" t="s">
        <v>548</v>
      </c>
      <c r="D39" s="89"/>
      <c r="E39" s="89"/>
      <c r="F39" s="89" t="s">
        <v>12</v>
      </c>
      <c r="G39" s="103" t="s">
        <v>549</v>
      </c>
    </row>
    <row r="40" spans="2:7">
      <c r="B40" s="59">
        <v>330</v>
      </c>
      <c r="C40" s="100" t="s">
        <v>550</v>
      </c>
      <c r="D40" s="89"/>
      <c r="E40" s="89"/>
      <c r="F40" s="89" t="s">
        <v>12</v>
      </c>
      <c r="G40" s="103" t="s">
        <v>551</v>
      </c>
    </row>
    <row r="41" spans="2:7">
      <c r="B41" s="57">
        <v>340</v>
      </c>
      <c r="C41" s="100" t="s">
        <v>552</v>
      </c>
      <c r="D41" s="89" t="str">
        <f>+B41&amp;"="&amp;B39&amp;"+"&amp;B40</f>
        <v>340=320+330</v>
      </c>
      <c r="E41" s="89"/>
      <c r="F41" s="89" t="s">
        <v>12</v>
      </c>
      <c r="G41" s="89" t="s">
        <v>553</v>
      </c>
    </row>
    <row r="42" spans="2:7">
      <c r="B42" s="57">
        <v>350</v>
      </c>
      <c r="C42" s="100" t="s">
        <v>554</v>
      </c>
      <c r="D42" s="89"/>
      <c r="E42" s="89"/>
      <c r="F42" s="89" t="s">
        <v>12</v>
      </c>
      <c r="G42" s="103" t="s">
        <v>555</v>
      </c>
    </row>
    <row r="43" spans="2:7">
      <c r="B43" s="57">
        <v>360</v>
      </c>
      <c r="C43" s="100" t="s">
        <v>556</v>
      </c>
      <c r="D43" s="89"/>
      <c r="E43" s="89"/>
      <c r="F43" s="89" t="s">
        <v>12</v>
      </c>
      <c r="G43" s="103" t="s">
        <v>557</v>
      </c>
    </row>
    <row r="44" spans="2:7">
      <c r="B44" s="59">
        <v>370</v>
      </c>
      <c r="C44" s="100" t="s">
        <v>558</v>
      </c>
      <c r="D44" s="89"/>
      <c r="E44" s="89"/>
      <c r="F44" s="89" t="s">
        <v>12</v>
      </c>
      <c r="G44" s="103" t="s">
        <v>559</v>
      </c>
    </row>
    <row r="45" spans="2:7">
      <c r="B45" s="57">
        <v>380</v>
      </c>
      <c r="C45" s="100" t="s">
        <v>560</v>
      </c>
      <c r="D45" s="89"/>
      <c r="E45" s="89"/>
      <c r="F45" s="89" t="s">
        <v>12</v>
      </c>
      <c r="G45" s="103" t="s">
        <v>561</v>
      </c>
    </row>
    <row r="46" spans="2:7">
      <c r="B46" s="57">
        <v>390</v>
      </c>
      <c r="C46" s="100" t="s">
        <v>562</v>
      </c>
      <c r="D46" s="89" t="str">
        <f>+B46&amp;"= - "&amp;B42&amp;"+"&amp;B43&amp;"+"&amp;B44&amp;"+"&amp;B45</f>
        <v>390= - 350+360+370+380</v>
      </c>
      <c r="E46" s="89"/>
      <c r="F46" s="89" t="s">
        <v>12</v>
      </c>
      <c r="G46" s="103" t="s">
        <v>563</v>
      </c>
    </row>
    <row r="47" spans="2:7">
      <c r="B47" s="57">
        <v>400</v>
      </c>
      <c r="C47" s="100" t="s">
        <v>564</v>
      </c>
      <c r="D47" s="89"/>
      <c r="E47" s="89"/>
      <c r="F47" s="89" t="s">
        <v>12</v>
      </c>
      <c r="G47" s="89" t="s">
        <v>565</v>
      </c>
    </row>
    <row r="48" spans="2:7">
      <c r="B48" s="59">
        <v>410</v>
      </c>
      <c r="C48" s="100" t="s">
        <v>566</v>
      </c>
      <c r="D48" s="89"/>
      <c r="E48" s="89"/>
      <c r="F48" s="89" t="s">
        <v>12</v>
      </c>
      <c r="G48" s="89" t="s">
        <v>567</v>
      </c>
    </row>
    <row r="49" spans="2:7">
      <c r="B49" s="57">
        <v>420</v>
      </c>
      <c r="C49" s="100" t="s">
        <v>568</v>
      </c>
      <c r="D49" s="89"/>
      <c r="E49" s="89"/>
      <c r="F49" s="89" t="s">
        <v>12</v>
      </c>
      <c r="G49" s="89" t="s">
        <v>569</v>
      </c>
    </row>
    <row r="50" spans="2:7">
      <c r="B50" s="57">
        <v>430</v>
      </c>
      <c r="C50" s="100" t="s">
        <v>570</v>
      </c>
      <c r="D50" s="89"/>
      <c r="E50" s="89"/>
      <c r="F50" s="89" t="s">
        <v>12</v>
      </c>
      <c r="G50" s="89" t="s">
        <v>571</v>
      </c>
    </row>
    <row r="51" spans="2:7">
      <c r="B51" s="57">
        <v>440</v>
      </c>
      <c r="C51" s="100" t="s">
        <v>572</v>
      </c>
      <c r="D51" s="89"/>
      <c r="E51" s="89"/>
      <c r="F51" s="89" t="s">
        <v>12</v>
      </c>
      <c r="G51" s="89" t="s">
        <v>573</v>
      </c>
    </row>
    <row r="52" spans="2:7">
      <c r="B52" s="59">
        <v>450</v>
      </c>
      <c r="C52" s="100" t="s">
        <v>574</v>
      </c>
      <c r="D52" s="89" t="str">
        <f>+B52&amp;"= "&amp;B47&amp;"+"&amp;B48&amp;"+"&amp;B49&amp;"+"&amp;B50&amp;"+"&amp;B51</f>
        <v>450= 400+410+420+430+440</v>
      </c>
      <c r="E52" s="89"/>
      <c r="F52" s="89" t="s">
        <v>12</v>
      </c>
      <c r="G52" s="89" t="s">
        <v>575</v>
      </c>
    </row>
    <row r="53" spans="2:7">
      <c r="B53" s="57">
        <v>460</v>
      </c>
      <c r="C53" s="100" t="s">
        <v>576</v>
      </c>
      <c r="D53" s="89" t="str">
        <f>+B53&amp;"="&amp;B38&amp;"+"&amp;B41&amp;"-"&amp;B46&amp;"-"&amp;B52</f>
        <v>460=310+340-390-450</v>
      </c>
      <c r="E53" s="89"/>
      <c r="F53" s="89" t="s">
        <v>12</v>
      </c>
      <c r="G53" s="89" t="s">
        <v>577</v>
      </c>
    </row>
    <row r="54" spans="2:7">
      <c r="B54" s="57">
        <v>470</v>
      </c>
      <c r="C54" s="100" t="s">
        <v>578</v>
      </c>
      <c r="D54" s="89"/>
      <c r="E54" s="89"/>
      <c r="F54" s="89" t="s">
        <v>12</v>
      </c>
      <c r="G54" s="89" t="s">
        <v>579</v>
      </c>
    </row>
    <row r="55" spans="2:7">
      <c r="B55" s="57">
        <v>480</v>
      </c>
      <c r="C55" s="100" t="s">
        <v>580</v>
      </c>
      <c r="D55" s="89"/>
      <c r="E55" s="89"/>
      <c r="F55" s="89" t="s">
        <v>12</v>
      </c>
      <c r="G55" s="89" t="s">
        <v>581</v>
      </c>
    </row>
    <row r="56" spans="2:7">
      <c r="B56" s="59">
        <v>490</v>
      </c>
      <c r="C56" s="100" t="s">
        <v>582</v>
      </c>
      <c r="D56" s="89" t="str">
        <f>+B56&amp;"="&amp;B53&amp;"+"&amp;B54&amp;"+"&amp;B55</f>
        <v>490=460+470+480</v>
      </c>
      <c r="E56" s="89"/>
      <c r="F56" s="89" t="s">
        <v>12</v>
      </c>
      <c r="G56" s="89" t="s">
        <v>583</v>
      </c>
    </row>
    <row r="57" spans="2:7">
      <c r="B57" s="57">
        <v>500</v>
      </c>
      <c r="C57" s="100" t="s">
        <v>584</v>
      </c>
      <c r="D57" s="89"/>
      <c r="E57" s="89"/>
      <c r="F57" s="89" t="s">
        <v>12</v>
      </c>
      <c r="G57" s="89" t="s">
        <v>585</v>
      </c>
    </row>
    <row r="58" spans="2:7">
      <c r="B58" s="57">
        <v>510</v>
      </c>
      <c r="C58" s="100" t="s">
        <v>586</v>
      </c>
      <c r="D58" s="89" t="str">
        <f>+B58&amp;"="&amp;B56&amp;"-"&amp;B57</f>
        <v>510=490-500</v>
      </c>
      <c r="E58" s="89"/>
      <c r="F58" s="89" t="s">
        <v>12</v>
      </c>
      <c r="G58" s="89" t="s">
        <v>587</v>
      </c>
    </row>
    <row r="59" spans="2:7">
      <c r="B59" s="57">
        <v>520</v>
      </c>
      <c r="C59" s="100" t="s">
        <v>588</v>
      </c>
      <c r="D59" s="89"/>
      <c r="E59" s="89"/>
      <c r="F59" s="89" t="s">
        <v>12</v>
      </c>
      <c r="G59" s="89" t="s">
        <v>589</v>
      </c>
    </row>
    <row r="60" spans="2:7">
      <c r="B60" s="59">
        <v>530</v>
      </c>
      <c r="C60" s="100" t="s">
        <v>590</v>
      </c>
      <c r="D60" s="89" t="str">
        <f>+B60&amp;"="&amp;B58&amp;"+"&amp;B59</f>
        <v>530=510+520</v>
      </c>
      <c r="E60" s="89"/>
      <c r="F60" s="89" t="s">
        <v>12</v>
      </c>
      <c r="G60" s="89" t="s">
        <v>591</v>
      </c>
    </row>
    <row r="61" spans="2:7">
      <c r="B61" s="57">
        <v>540</v>
      </c>
      <c r="C61" s="44" t="s">
        <v>304</v>
      </c>
      <c r="D61" s="43" t="str">
        <f>+B61&amp;igual&amp;B34&amp;"+"&amp;B60</f>
        <v>540 = 270+530</v>
      </c>
      <c r="E61" s="39"/>
      <c r="F61" s="39" t="s">
        <v>120</v>
      </c>
      <c r="G61" s="58" t="s">
        <v>305</v>
      </c>
    </row>
    <row r="62" spans="2:7">
      <c r="B62" s="57">
        <v>550</v>
      </c>
      <c r="C62" s="40" t="s">
        <v>306</v>
      </c>
      <c r="D62" s="43"/>
      <c r="E62" s="39"/>
      <c r="F62" s="39" t="s">
        <v>120</v>
      </c>
      <c r="G62" s="58" t="s">
        <v>307</v>
      </c>
    </row>
    <row r="63" spans="2:7">
      <c r="B63" s="57">
        <v>560</v>
      </c>
      <c r="C63" s="44" t="s">
        <v>308</v>
      </c>
      <c r="D63" s="43"/>
      <c r="E63" s="39"/>
      <c r="F63" s="39" t="s">
        <v>120</v>
      </c>
      <c r="G63" s="58" t="s">
        <v>309</v>
      </c>
    </row>
    <row r="64" spans="2:7">
      <c r="B64" s="59">
        <v>570</v>
      </c>
      <c r="C64" s="44" t="s">
        <v>310</v>
      </c>
      <c r="D64" s="43"/>
      <c r="E64" s="39"/>
      <c r="F64" s="39" t="s">
        <v>120</v>
      </c>
      <c r="G64" s="58" t="s">
        <v>311</v>
      </c>
    </row>
    <row r="65" spans="2:7">
      <c r="B65" s="57">
        <v>580</v>
      </c>
      <c r="C65" s="44" t="s">
        <v>304</v>
      </c>
      <c r="D65" s="39"/>
      <c r="E65" s="43" t="str">
        <f>+B65&amp;igual&amp;B63&amp;"+"&amp;B64</f>
        <v>580 = 560+570</v>
      </c>
      <c r="F65" s="39" t="s">
        <v>120</v>
      </c>
      <c r="G65" s="58" t="s">
        <v>305</v>
      </c>
    </row>
    <row r="66" spans="2:7">
      <c r="B66" s="57">
        <v>590</v>
      </c>
      <c r="C66" s="68" t="s">
        <v>312</v>
      </c>
      <c r="D66" s="39"/>
      <c r="E66" s="43"/>
      <c r="F66" s="63" t="s">
        <v>120</v>
      </c>
      <c r="G66" s="67" t="s">
        <v>313</v>
      </c>
    </row>
    <row r="67" spans="2:7">
      <c r="B67" s="57">
        <v>600</v>
      </c>
      <c r="C67" s="44" t="s">
        <v>314</v>
      </c>
      <c r="D67" s="43"/>
      <c r="E67" s="39"/>
      <c r="F67" s="39" t="s">
        <v>120</v>
      </c>
      <c r="G67" s="58" t="s">
        <v>315</v>
      </c>
    </row>
    <row r="68" spans="2:7">
      <c r="B68" s="59">
        <v>610</v>
      </c>
      <c r="C68" s="42" t="s">
        <v>316</v>
      </c>
      <c r="D68" s="43"/>
      <c r="E68" s="39"/>
      <c r="F68" s="39" t="s">
        <v>120</v>
      </c>
      <c r="G68" s="58" t="s">
        <v>317</v>
      </c>
    </row>
    <row r="69" spans="2:7">
      <c r="B69" s="57">
        <v>620</v>
      </c>
      <c r="C69" s="47" t="s">
        <v>318</v>
      </c>
      <c r="D69" s="43"/>
      <c r="E69" s="39"/>
      <c r="F69" s="39" t="s">
        <v>120</v>
      </c>
      <c r="G69" s="58" t="s">
        <v>319</v>
      </c>
    </row>
    <row r="70" spans="2:7">
      <c r="B70" s="57">
        <v>630</v>
      </c>
      <c r="C70" s="47" t="s">
        <v>320</v>
      </c>
      <c r="D70" s="43"/>
      <c r="E70" s="39"/>
      <c r="F70" s="39" t="s">
        <v>120</v>
      </c>
      <c r="G70" s="58" t="s">
        <v>321</v>
      </c>
    </row>
    <row r="71" spans="2:7">
      <c r="B71" s="57">
        <v>640</v>
      </c>
      <c r="C71" s="47" t="s">
        <v>322</v>
      </c>
      <c r="D71" s="43" t="str">
        <f>+B71&amp;igual&amp;B69&amp;"+"&amp;B70</f>
        <v>640 = 620+630</v>
      </c>
      <c r="E71" s="39"/>
      <c r="F71" s="39" t="s">
        <v>120</v>
      </c>
      <c r="G71" s="58" t="s">
        <v>323</v>
      </c>
    </row>
    <row r="72" spans="2:7">
      <c r="B72" s="59">
        <v>650</v>
      </c>
      <c r="C72" s="42" t="s">
        <v>324</v>
      </c>
      <c r="D72" s="43"/>
      <c r="E72" s="39"/>
      <c r="F72" s="39" t="s">
        <v>120</v>
      </c>
      <c r="G72" s="58" t="s">
        <v>325</v>
      </c>
    </row>
    <row r="73" spans="2:7">
      <c r="B73" s="57">
        <v>660</v>
      </c>
      <c r="C73" s="47" t="s">
        <v>326</v>
      </c>
      <c r="D73" s="43"/>
      <c r="E73" s="39"/>
      <c r="F73" s="39" t="s">
        <v>120</v>
      </c>
      <c r="G73" s="58" t="s">
        <v>327</v>
      </c>
    </row>
    <row r="74" spans="2:7">
      <c r="B74" s="57">
        <v>670</v>
      </c>
      <c r="C74" s="47" t="s">
        <v>328</v>
      </c>
      <c r="D74" s="43"/>
      <c r="E74" s="39"/>
      <c r="F74" s="39" t="s">
        <v>120</v>
      </c>
      <c r="G74" s="58" t="s">
        <v>329</v>
      </c>
    </row>
    <row r="75" spans="2:7">
      <c r="B75" s="57">
        <v>680</v>
      </c>
      <c r="C75" s="47" t="s">
        <v>330</v>
      </c>
      <c r="D75" s="43" t="str">
        <f>+B75&amp;igual&amp;B73&amp;"+"&amp;B74</f>
        <v>680 = 660+670</v>
      </c>
      <c r="E75" s="39"/>
      <c r="F75" s="39" t="s">
        <v>120</v>
      </c>
      <c r="G75" s="58" t="s">
        <v>331</v>
      </c>
    </row>
    <row r="76" spans="2:7">
      <c r="B76" s="69" t="s">
        <v>332</v>
      </c>
      <c r="C76" s="70"/>
      <c r="D76" s="70"/>
      <c r="E76" s="70"/>
      <c r="F76" s="70" t="s">
        <v>55</v>
      </c>
      <c r="G76" s="71"/>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3"/>
  <sheetViews>
    <sheetView workbookViewId="0">
      <selection activeCell="D120" sqref="D120"/>
    </sheetView>
  </sheetViews>
  <sheetFormatPr baseColWidth="10" defaultRowHeight="15"/>
  <cols>
    <col min="3" max="3" width="105.42578125" bestFit="1" customWidth="1"/>
    <col min="4" max="4" width="98.28515625" customWidth="1"/>
    <col min="6" max="6" width="74.28515625" customWidth="1"/>
  </cols>
  <sheetData>
    <row r="1" spans="1:6">
      <c r="A1" s="72"/>
    </row>
    <row r="2" spans="1:6">
      <c r="A2" s="72"/>
    </row>
    <row r="3" spans="1:6">
      <c r="A3" s="72"/>
    </row>
    <row r="4" spans="1:6">
      <c r="A4" s="72"/>
      <c r="B4" s="33" t="s">
        <v>111</v>
      </c>
      <c r="C4" s="34" t="str">
        <f>"http://www.svs.cl/cl/fr/hs/role/cl-hs_ias-7_"&amp;dts!D2&amp;"_role-510000"</f>
        <v>http://www.svs.cl/cl/fr/hs/role/cl-hs_ias-7_2016-03-31_role-510000</v>
      </c>
    </row>
    <row r="5" spans="1:6">
      <c r="A5" s="72"/>
      <c r="B5" s="33" t="s">
        <v>112</v>
      </c>
      <c r="C5" s="34" t="s">
        <v>333</v>
      </c>
    </row>
    <row r="6" spans="1:6">
      <c r="A6" s="72"/>
    </row>
    <row r="7" spans="1:6">
      <c r="A7" s="72"/>
      <c r="B7" s="73" t="s">
        <v>114</v>
      </c>
      <c r="C7" s="36" t="s">
        <v>115</v>
      </c>
      <c r="D7" s="36" t="s">
        <v>116</v>
      </c>
      <c r="E7" s="36" t="s">
        <v>117</v>
      </c>
      <c r="F7" s="37" t="s">
        <v>118</v>
      </c>
    </row>
    <row r="8" spans="1:6">
      <c r="A8" s="72"/>
      <c r="B8" s="54">
        <v>10</v>
      </c>
      <c r="C8" s="55" t="s">
        <v>334</v>
      </c>
      <c r="D8" s="74"/>
      <c r="E8" s="55" t="s">
        <v>120</v>
      </c>
      <c r="F8" s="56" t="s">
        <v>335</v>
      </c>
    </row>
    <row r="9" spans="1:6">
      <c r="A9" s="72"/>
      <c r="B9" s="57">
        <v>20</v>
      </c>
      <c r="C9" s="40" t="s">
        <v>336</v>
      </c>
      <c r="D9" s="75"/>
      <c r="E9" s="39" t="s">
        <v>120</v>
      </c>
      <c r="F9" s="58" t="s">
        <v>337</v>
      </c>
    </row>
    <row r="10" spans="1:6">
      <c r="A10" s="72"/>
      <c r="B10" s="57">
        <v>30</v>
      </c>
      <c r="C10" s="104" t="s">
        <v>479</v>
      </c>
      <c r="D10" s="105"/>
      <c r="E10" s="106" t="s">
        <v>12</v>
      </c>
      <c r="F10" s="106" t="s">
        <v>592</v>
      </c>
    </row>
    <row r="11" spans="1:6">
      <c r="A11" s="72"/>
      <c r="B11" s="57">
        <v>40</v>
      </c>
      <c r="C11" s="42" t="s">
        <v>338</v>
      </c>
      <c r="D11" s="39"/>
      <c r="E11" s="39" t="s">
        <v>120</v>
      </c>
      <c r="F11" s="58" t="s">
        <v>339</v>
      </c>
    </row>
    <row r="12" spans="1:6">
      <c r="A12" s="72"/>
      <c r="B12" s="57">
        <v>50</v>
      </c>
      <c r="C12" s="47" t="s">
        <v>340</v>
      </c>
      <c r="D12" s="39"/>
      <c r="E12" s="39" t="s">
        <v>120</v>
      </c>
      <c r="F12" s="58" t="s">
        <v>341</v>
      </c>
    </row>
    <row r="13" spans="1:6">
      <c r="A13" s="72"/>
      <c r="B13" s="57">
        <v>60</v>
      </c>
      <c r="C13" s="47" t="s">
        <v>342</v>
      </c>
      <c r="D13" s="39"/>
      <c r="E13" s="39" t="s">
        <v>120</v>
      </c>
      <c r="F13" s="58" t="s">
        <v>343</v>
      </c>
    </row>
    <row r="14" spans="1:6">
      <c r="A14" s="72"/>
      <c r="B14" s="57">
        <v>70</v>
      </c>
      <c r="C14" s="47" t="s">
        <v>344</v>
      </c>
      <c r="D14" s="39"/>
      <c r="E14" s="39" t="s">
        <v>120</v>
      </c>
      <c r="F14" s="58" t="s">
        <v>345</v>
      </c>
    </row>
    <row r="15" spans="1:6">
      <c r="A15" s="72"/>
      <c r="B15" s="57">
        <v>80</v>
      </c>
      <c r="C15" s="47" t="s">
        <v>346</v>
      </c>
      <c r="D15" s="39"/>
      <c r="E15" s="39" t="s">
        <v>120</v>
      </c>
      <c r="F15" s="58" t="s">
        <v>347</v>
      </c>
    </row>
    <row r="16" spans="1:6">
      <c r="A16" s="72"/>
      <c r="B16" s="57">
        <v>90</v>
      </c>
      <c r="C16" s="107" t="s">
        <v>348</v>
      </c>
      <c r="D16" s="39"/>
      <c r="E16" s="39" t="s">
        <v>120</v>
      </c>
      <c r="F16" s="61" t="s">
        <v>349</v>
      </c>
    </row>
    <row r="17" spans="1:6">
      <c r="A17" s="72"/>
      <c r="B17" s="57">
        <v>100</v>
      </c>
      <c r="C17" s="47" t="s">
        <v>350</v>
      </c>
      <c r="D17" s="39"/>
      <c r="E17" s="39" t="s">
        <v>120</v>
      </c>
      <c r="F17" s="58" t="s">
        <v>351</v>
      </c>
    </row>
    <row r="18" spans="1:6">
      <c r="A18" s="72"/>
      <c r="B18" s="57">
        <v>110</v>
      </c>
      <c r="C18" s="42" t="s">
        <v>352</v>
      </c>
      <c r="D18" s="39"/>
      <c r="E18" s="39" t="s">
        <v>120</v>
      </c>
      <c r="F18" s="58" t="s">
        <v>353</v>
      </c>
    </row>
    <row r="19" spans="1:6">
      <c r="A19" s="72"/>
      <c r="B19" s="57">
        <v>120</v>
      </c>
      <c r="C19" s="47" t="s">
        <v>354</v>
      </c>
      <c r="D19" s="39"/>
      <c r="E19" s="39" t="s">
        <v>120</v>
      </c>
      <c r="F19" s="58" t="s">
        <v>355</v>
      </c>
    </row>
    <row r="20" spans="1:6">
      <c r="A20" s="72"/>
      <c r="B20" s="57">
        <v>130</v>
      </c>
      <c r="C20" s="47" t="s">
        <v>356</v>
      </c>
      <c r="D20" s="39"/>
      <c r="E20" s="39" t="s">
        <v>120</v>
      </c>
      <c r="F20" s="58" t="s">
        <v>357</v>
      </c>
    </row>
    <row r="21" spans="1:6">
      <c r="A21" s="72"/>
      <c r="B21" s="57">
        <v>140</v>
      </c>
      <c r="C21" s="47" t="s">
        <v>358</v>
      </c>
      <c r="D21" s="39"/>
      <c r="E21" s="39" t="s">
        <v>120</v>
      </c>
      <c r="F21" s="58" t="s">
        <v>359</v>
      </c>
    </row>
    <row r="22" spans="1:6">
      <c r="A22" s="72"/>
      <c r="B22" s="57">
        <v>150</v>
      </c>
      <c r="C22" s="47" t="s">
        <v>360</v>
      </c>
      <c r="D22" s="39"/>
      <c r="E22" s="39" t="s">
        <v>120</v>
      </c>
      <c r="F22" s="58" t="s">
        <v>361</v>
      </c>
    </row>
    <row r="23" spans="1:6">
      <c r="A23" s="72"/>
      <c r="B23" s="57">
        <v>160</v>
      </c>
      <c r="C23" s="47" t="s">
        <v>362</v>
      </c>
      <c r="D23" s="39"/>
      <c r="E23" s="39" t="s">
        <v>120</v>
      </c>
      <c r="F23" s="61" t="s">
        <v>363</v>
      </c>
    </row>
    <row r="24" spans="1:6">
      <c r="A24" s="72"/>
      <c r="B24" s="57">
        <v>170</v>
      </c>
      <c r="C24" s="47" t="s">
        <v>364</v>
      </c>
      <c r="D24" s="39"/>
      <c r="E24" s="39" t="s">
        <v>120</v>
      </c>
      <c r="F24" s="58" t="s">
        <v>365</v>
      </c>
    </row>
    <row r="25" spans="1:6">
      <c r="A25" s="72"/>
      <c r="B25" s="57">
        <v>180</v>
      </c>
      <c r="C25" s="42" t="s">
        <v>366</v>
      </c>
      <c r="D25" s="43" t="str">
        <f>+B25&amp;"="&amp;B12&amp;"+"&amp;B13&amp;"+"&amp;B14&amp;"+"&amp;B15&amp;"+"&amp;B16&amp;"+"&amp;B17&amp;"-"&amp;B19&amp;"-"&amp;B20&amp;"-"&amp;B21&amp;"-"&amp;B22&amp;"-"&amp;B23&amp;"-"&amp;B24</f>
        <v>180=50+60+70+80+90+100-120-130-140-150-160-170</v>
      </c>
      <c r="E25" s="39" t="s">
        <v>120</v>
      </c>
      <c r="F25" s="61" t="s">
        <v>367</v>
      </c>
    </row>
    <row r="26" spans="1:6">
      <c r="A26" s="72"/>
      <c r="B26" s="57">
        <v>190</v>
      </c>
      <c r="C26" s="108" t="s">
        <v>368</v>
      </c>
      <c r="D26" s="77"/>
      <c r="E26" s="77" t="s">
        <v>120</v>
      </c>
      <c r="F26" s="78" t="s">
        <v>369</v>
      </c>
    </row>
    <row r="27" spans="1:6">
      <c r="A27" s="72"/>
      <c r="B27" s="57">
        <v>200</v>
      </c>
      <c r="C27" s="42" t="s">
        <v>370</v>
      </c>
      <c r="D27" s="39"/>
      <c r="E27" s="39" t="s">
        <v>120</v>
      </c>
      <c r="F27" s="58" t="s">
        <v>371</v>
      </c>
    </row>
    <row r="28" spans="1:6">
      <c r="A28" s="72"/>
      <c r="B28" s="57">
        <v>210</v>
      </c>
      <c r="C28" s="108" t="s">
        <v>372</v>
      </c>
      <c r="D28" s="77"/>
      <c r="E28" s="77" t="s">
        <v>120</v>
      </c>
      <c r="F28" s="78" t="s">
        <v>373</v>
      </c>
    </row>
    <row r="29" spans="1:6">
      <c r="A29" s="72"/>
      <c r="B29" s="57">
        <v>220</v>
      </c>
      <c r="C29" s="42" t="s">
        <v>374</v>
      </c>
      <c r="D29" s="39"/>
      <c r="E29" s="39" t="s">
        <v>120</v>
      </c>
      <c r="F29" s="58" t="s">
        <v>375</v>
      </c>
    </row>
    <row r="30" spans="1:6">
      <c r="A30" s="72"/>
      <c r="B30" s="57">
        <v>230</v>
      </c>
      <c r="C30" s="76" t="s">
        <v>376</v>
      </c>
      <c r="D30" s="39"/>
      <c r="E30" s="39" t="s">
        <v>120</v>
      </c>
      <c r="F30" s="58" t="s">
        <v>377</v>
      </c>
    </row>
    <row r="31" spans="1:6">
      <c r="A31" s="72"/>
      <c r="B31" s="57">
        <v>240</v>
      </c>
      <c r="C31" s="42" t="s">
        <v>378</v>
      </c>
      <c r="D31" s="39"/>
      <c r="E31" s="39" t="s">
        <v>120</v>
      </c>
      <c r="F31" s="58" t="s">
        <v>379</v>
      </c>
    </row>
    <row r="32" spans="1:6">
      <c r="A32" s="72"/>
      <c r="B32" s="57">
        <v>250</v>
      </c>
      <c r="C32" s="92" t="s">
        <v>593</v>
      </c>
      <c r="D32" s="106" t="str">
        <f>+B32&amp;"="&amp;B25&amp;"-"&amp;B26&amp;"+"&amp;B27&amp;"-"&amp;B28&amp;"+"&amp;B29&amp;"-"&amp;B30&amp;"+"&amp;B31</f>
        <v>250=180-190+200-210+220-230+240</v>
      </c>
      <c r="E32" s="106" t="s">
        <v>12</v>
      </c>
      <c r="F32" s="109" t="s">
        <v>594</v>
      </c>
    </row>
    <row r="33" spans="1:6">
      <c r="A33" s="72"/>
      <c r="B33" s="57">
        <v>260</v>
      </c>
      <c r="C33" s="110" t="s">
        <v>540</v>
      </c>
      <c r="D33" s="106"/>
      <c r="E33" s="106" t="s">
        <v>12</v>
      </c>
      <c r="F33" s="111" t="s">
        <v>595</v>
      </c>
    </row>
    <row r="34" spans="1:6">
      <c r="A34" s="72"/>
      <c r="B34" s="57">
        <v>270</v>
      </c>
      <c r="C34" s="92" t="s">
        <v>596</v>
      </c>
      <c r="D34" s="106"/>
      <c r="E34" s="106" t="s">
        <v>12</v>
      </c>
      <c r="F34" s="91" t="s">
        <v>597</v>
      </c>
    </row>
    <row r="35" spans="1:6">
      <c r="A35" s="72"/>
      <c r="B35" s="57">
        <v>280</v>
      </c>
      <c r="C35" s="92" t="s">
        <v>598</v>
      </c>
      <c r="D35" s="106"/>
      <c r="E35" s="106" t="s">
        <v>12</v>
      </c>
      <c r="F35" s="91" t="s">
        <v>599</v>
      </c>
    </row>
    <row r="36" spans="1:6">
      <c r="A36" s="72"/>
      <c r="B36" s="57">
        <v>290</v>
      </c>
      <c r="C36" s="92" t="s">
        <v>600</v>
      </c>
      <c r="D36" s="106"/>
      <c r="E36" s="106" t="s">
        <v>12</v>
      </c>
      <c r="F36" s="91" t="s">
        <v>601</v>
      </c>
    </row>
    <row r="37" spans="1:6">
      <c r="A37" s="72"/>
      <c r="B37" s="57">
        <v>300</v>
      </c>
      <c r="C37" s="92" t="s">
        <v>602</v>
      </c>
      <c r="D37" s="106"/>
      <c r="E37" s="106" t="s">
        <v>12</v>
      </c>
      <c r="F37" s="91" t="s">
        <v>603</v>
      </c>
    </row>
    <row r="38" spans="1:6">
      <c r="A38" s="72"/>
      <c r="B38" s="57">
        <v>310</v>
      </c>
      <c r="C38" s="92" t="s">
        <v>604</v>
      </c>
      <c r="D38" s="106"/>
      <c r="E38" s="106" t="s">
        <v>12</v>
      </c>
      <c r="F38" s="91" t="s">
        <v>605</v>
      </c>
    </row>
    <row r="39" spans="1:6">
      <c r="A39" s="72"/>
      <c r="B39" s="57">
        <v>320</v>
      </c>
      <c r="C39" s="92" t="s">
        <v>374</v>
      </c>
      <c r="D39" s="106"/>
      <c r="E39" s="106" t="s">
        <v>12</v>
      </c>
      <c r="F39" s="91" t="s">
        <v>606</v>
      </c>
    </row>
    <row r="40" spans="1:6">
      <c r="A40" s="72"/>
      <c r="B40" s="57">
        <v>330</v>
      </c>
      <c r="C40" s="92" t="s">
        <v>607</v>
      </c>
      <c r="D40" s="106"/>
      <c r="E40" s="106" t="s">
        <v>12</v>
      </c>
      <c r="F40" s="91" t="s">
        <v>608</v>
      </c>
    </row>
    <row r="41" spans="1:6">
      <c r="A41" s="72"/>
      <c r="B41" s="57">
        <v>340</v>
      </c>
      <c r="C41" s="92" t="s">
        <v>609</v>
      </c>
      <c r="D41" s="106"/>
      <c r="E41" s="106" t="s">
        <v>12</v>
      </c>
      <c r="F41" s="91" t="s">
        <v>610</v>
      </c>
    </row>
    <row r="42" spans="1:6">
      <c r="A42" s="72"/>
      <c r="B42" s="57">
        <v>350</v>
      </c>
      <c r="C42" s="92" t="s">
        <v>611</v>
      </c>
      <c r="D42" s="106"/>
      <c r="E42" s="106" t="s">
        <v>12</v>
      </c>
      <c r="F42" s="91" t="s">
        <v>612</v>
      </c>
    </row>
    <row r="43" spans="1:6">
      <c r="A43" s="72"/>
      <c r="B43" s="57">
        <v>360</v>
      </c>
      <c r="C43" s="92" t="s">
        <v>613</v>
      </c>
      <c r="D43" s="106"/>
      <c r="E43" s="106" t="s">
        <v>12</v>
      </c>
      <c r="F43" s="91" t="s">
        <v>614</v>
      </c>
    </row>
    <row r="44" spans="1:6">
      <c r="A44" s="72"/>
      <c r="B44" s="57">
        <v>370</v>
      </c>
      <c r="C44" s="92" t="s">
        <v>615</v>
      </c>
      <c r="D44" s="106"/>
      <c r="E44" s="106" t="s">
        <v>12</v>
      </c>
      <c r="F44" s="91" t="s">
        <v>616</v>
      </c>
    </row>
    <row r="45" spans="1:6">
      <c r="A45" s="72"/>
      <c r="B45" s="57">
        <v>380</v>
      </c>
      <c r="C45" s="92" t="s">
        <v>617</v>
      </c>
      <c r="D45" s="106"/>
      <c r="E45" s="106" t="s">
        <v>12</v>
      </c>
      <c r="F45" s="91" t="s">
        <v>618</v>
      </c>
    </row>
    <row r="46" spans="1:6">
      <c r="A46" s="72"/>
      <c r="B46" s="57">
        <v>390</v>
      </c>
      <c r="C46" s="92" t="s">
        <v>619</v>
      </c>
      <c r="D46" s="106"/>
      <c r="E46" s="106" t="s">
        <v>12</v>
      </c>
      <c r="F46" s="91" t="s">
        <v>620</v>
      </c>
    </row>
    <row r="47" spans="1:6">
      <c r="A47" s="72"/>
      <c r="B47" s="57">
        <v>400</v>
      </c>
      <c r="C47" s="92" t="s">
        <v>621</v>
      </c>
      <c r="D47" s="106"/>
      <c r="E47" s="106" t="s">
        <v>12</v>
      </c>
      <c r="F47" s="91" t="s">
        <v>622</v>
      </c>
    </row>
    <row r="48" spans="1:6">
      <c r="A48" s="72"/>
      <c r="B48" s="57">
        <v>410</v>
      </c>
      <c r="C48" s="92" t="s">
        <v>623</v>
      </c>
      <c r="D48" s="106"/>
      <c r="E48" s="106" t="s">
        <v>12</v>
      </c>
      <c r="F48" s="91" t="s">
        <v>624</v>
      </c>
    </row>
    <row r="49" spans="1:6">
      <c r="A49" s="72"/>
      <c r="B49" s="57">
        <v>420</v>
      </c>
      <c r="C49" s="92" t="s">
        <v>625</v>
      </c>
      <c r="D49" s="106"/>
      <c r="E49" s="106" t="s">
        <v>12</v>
      </c>
      <c r="F49" s="91" t="s">
        <v>626</v>
      </c>
    </row>
    <row r="50" spans="1:6">
      <c r="A50" s="72"/>
      <c r="B50" s="57">
        <v>430</v>
      </c>
      <c r="C50" s="92" t="s">
        <v>627</v>
      </c>
      <c r="D50" s="106"/>
      <c r="E50" s="106" t="s">
        <v>12</v>
      </c>
      <c r="F50" s="91" t="s">
        <v>628</v>
      </c>
    </row>
    <row r="51" spans="1:6">
      <c r="A51" s="72"/>
      <c r="B51" s="57">
        <v>440</v>
      </c>
      <c r="C51" s="92" t="s">
        <v>629</v>
      </c>
      <c r="D51" s="106"/>
      <c r="E51" s="106" t="s">
        <v>12</v>
      </c>
      <c r="F51" s="91" t="s">
        <v>630</v>
      </c>
    </row>
    <row r="52" spans="1:6">
      <c r="A52" s="72"/>
      <c r="B52" s="57">
        <v>450</v>
      </c>
      <c r="C52" s="92" t="s">
        <v>631</v>
      </c>
      <c r="D52" s="106"/>
      <c r="E52" s="106" t="s">
        <v>12</v>
      </c>
      <c r="F52" s="91" t="s">
        <v>632</v>
      </c>
    </row>
    <row r="53" spans="1:6">
      <c r="A53" s="72"/>
      <c r="B53" s="57">
        <v>460</v>
      </c>
      <c r="C53" s="92" t="s">
        <v>633</v>
      </c>
      <c r="D53" s="106"/>
      <c r="E53" s="106" t="s">
        <v>12</v>
      </c>
      <c r="F53" s="91" t="s">
        <v>634</v>
      </c>
    </row>
    <row r="54" spans="1:6">
      <c r="A54" s="72"/>
      <c r="B54" s="57">
        <v>470</v>
      </c>
      <c r="C54" s="112" t="s">
        <v>635</v>
      </c>
      <c r="D54" s="113" t="str">
        <f>+B54&amp;"= "&amp;B34&amp;"+"&amp;B35&amp;"+"&amp;B36&amp;"+"&amp;B37&amp;"+"&amp;B38&amp;"+"&amp;B39&amp;"+"&amp;B40&amp;"+"&amp;B41&amp;"+"&amp;B42&amp;"-"&amp;B43&amp;"-"&amp;B44&amp;"-"&amp;B45&amp;"-"&amp;B46&amp;"-"&amp;B47&amp;"-"&amp;B48&amp;"-"&amp;B49&amp;"-"&amp;B50&amp;"-"&amp;B51&amp;"-"&amp;B52&amp;"+"&amp;B53</f>
        <v>470= 270+280+290+300+310+320+330+340+350-360-370-380-390-400-410-420-430-440-450+460</v>
      </c>
      <c r="E54" s="113" t="s">
        <v>12</v>
      </c>
      <c r="F54" s="114" t="s">
        <v>636</v>
      </c>
    </row>
    <row r="55" spans="1:6">
      <c r="A55" s="72"/>
      <c r="B55" s="57">
        <v>480</v>
      </c>
      <c r="C55" s="44" t="s">
        <v>380</v>
      </c>
      <c r="D55" s="39" t="str">
        <f>+B55&amp;"="&amp;B32&amp;"+"&amp;B54</f>
        <v>480=250+470</v>
      </c>
      <c r="E55" s="39" t="s">
        <v>120</v>
      </c>
      <c r="F55" s="58" t="s">
        <v>381</v>
      </c>
    </row>
    <row r="56" spans="1:6">
      <c r="A56" s="72"/>
      <c r="B56" s="57">
        <v>490</v>
      </c>
      <c r="C56" s="40" t="s">
        <v>382</v>
      </c>
      <c r="D56" s="39"/>
      <c r="E56" s="39" t="s">
        <v>120</v>
      </c>
      <c r="F56" s="58" t="s">
        <v>383</v>
      </c>
    </row>
    <row r="57" spans="1:6">
      <c r="A57" s="72"/>
      <c r="B57" s="57">
        <v>500</v>
      </c>
      <c r="C57" s="88" t="s">
        <v>479</v>
      </c>
      <c r="D57" s="106"/>
      <c r="E57" s="106" t="s">
        <v>12</v>
      </c>
      <c r="F57" s="115" t="s">
        <v>637</v>
      </c>
    </row>
    <row r="58" spans="1:6">
      <c r="A58" s="72"/>
      <c r="B58" s="57">
        <v>510</v>
      </c>
      <c r="C58" s="42" t="s">
        <v>384</v>
      </c>
      <c r="D58" s="39"/>
      <c r="E58" s="39" t="s">
        <v>120</v>
      </c>
      <c r="F58" s="58" t="s">
        <v>385</v>
      </c>
    </row>
    <row r="59" spans="1:6">
      <c r="A59" s="72"/>
      <c r="B59" s="57">
        <v>520</v>
      </c>
      <c r="C59" s="108" t="s">
        <v>386</v>
      </c>
      <c r="D59" s="77"/>
      <c r="E59" s="77" t="s">
        <v>120</v>
      </c>
      <c r="F59" s="78" t="s">
        <v>387</v>
      </c>
    </row>
    <row r="60" spans="1:6">
      <c r="A60" s="72"/>
      <c r="B60" s="57">
        <v>530</v>
      </c>
      <c r="C60" s="42" t="s">
        <v>388</v>
      </c>
      <c r="D60" s="39"/>
      <c r="E60" s="39" t="s">
        <v>135</v>
      </c>
      <c r="F60" s="79" t="s">
        <v>389</v>
      </c>
    </row>
    <row r="61" spans="1:6">
      <c r="A61" s="72"/>
      <c r="B61" s="57">
        <v>540</v>
      </c>
      <c r="C61" s="42" t="s">
        <v>390</v>
      </c>
      <c r="D61" s="39"/>
      <c r="E61" s="39" t="s">
        <v>120</v>
      </c>
      <c r="F61" s="58" t="s">
        <v>391</v>
      </c>
    </row>
    <row r="62" spans="1:6">
      <c r="A62" s="72"/>
      <c r="B62" s="57">
        <v>550</v>
      </c>
      <c r="C62" s="108" t="s">
        <v>392</v>
      </c>
      <c r="D62" s="77"/>
      <c r="E62" s="77" t="s">
        <v>120</v>
      </c>
      <c r="F62" s="78" t="s">
        <v>393</v>
      </c>
    </row>
    <row r="63" spans="1:6">
      <c r="A63" s="72"/>
      <c r="B63" s="57">
        <v>560</v>
      </c>
      <c r="C63" s="42" t="s">
        <v>394</v>
      </c>
      <c r="D63" s="39"/>
      <c r="E63" s="39" t="s">
        <v>120</v>
      </c>
      <c r="F63" s="58" t="s">
        <v>395</v>
      </c>
    </row>
    <row r="64" spans="1:6">
      <c r="A64" s="72"/>
      <c r="B64" s="57">
        <v>570</v>
      </c>
      <c r="C64" s="108" t="s">
        <v>396</v>
      </c>
      <c r="D64" s="77"/>
      <c r="E64" s="77" t="s">
        <v>120</v>
      </c>
      <c r="F64" s="78" t="s">
        <v>397</v>
      </c>
    </row>
    <row r="65" spans="1:6">
      <c r="A65" s="72"/>
      <c r="B65" s="57">
        <v>580</v>
      </c>
      <c r="C65" s="116" t="s">
        <v>398</v>
      </c>
      <c r="D65" s="80"/>
      <c r="E65" s="45" t="s">
        <v>135</v>
      </c>
      <c r="F65" s="61" t="s">
        <v>399</v>
      </c>
    </row>
    <row r="66" spans="1:6">
      <c r="A66" s="72"/>
      <c r="B66" s="57">
        <v>590</v>
      </c>
      <c r="C66" s="42" t="s">
        <v>400</v>
      </c>
      <c r="D66" s="39"/>
      <c r="E66" s="39" t="s">
        <v>120</v>
      </c>
      <c r="F66" s="58" t="s">
        <v>401</v>
      </c>
    </row>
    <row r="67" spans="1:6">
      <c r="A67" s="72"/>
      <c r="B67" s="57">
        <v>600</v>
      </c>
      <c r="C67" s="108" t="s">
        <v>402</v>
      </c>
      <c r="D67" s="77"/>
      <c r="E67" s="77" t="s">
        <v>120</v>
      </c>
      <c r="F67" s="78" t="s">
        <v>403</v>
      </c>
    </row>
    <row r="68" spans="1:6">
      <c r="A68" s="72"/>
      <c r="B68" s="57">
        <v>610</v>
      </c>
      <c r="C68" s="42" t="s">
        <v>404</v>
      </c>
      <c r="D68" s="39"/>
      <c r="E68" s="39" t="s">
        <v>120</v>
      </c>
      <c r="F68" s="58" t="s">
        <v>405</v>
      </c>
    </row>
    <row r="69" spans="1:6">
      <c r="A69" s="72"/>
      <c r="B69" s="57">
        <v>620</v>
      </c>
      <c r="C69" s="108" t="s">
        <v>406</v>
      </c>
      <c r="D69" s="77"/>
      <c r="E69" s="77" t="s">
        <v>120</v>
      </c>
      <c r="F69" s="78" t="s">
        <v>407</v>
      </c>
    </row>
    <row r="70" spans="1:6">
      <c r="A70" s="72"/>
      <c r="B70" s="57">
        <v>630</v>
      </c>
      <c r="C70" s="42" t="s">
        <v>408</v>
      </c>
      <c r="D70" s="39"/>
      <c r="E70" s="39" t="s">
        <v>120</v>
      </c>
      <c r="F70" s="58" t="s">
        <v>409</v>
      </c>
    </row>
    <row r="71" spans="1:6">
      <c r="A71" s="72"/>
      <c r="B71" s="57">
        <v>640</v>
      </c>
      <c r="C71" s="108" t="s">
        <v>410</v>
      </c>
      <c r="D71" s="77"/>
      <c r="E71" s="77" t="s">
        <v>120</v>
      </c>
      <c r="F71" s="78" t="s">
        <v>411</v>
      </c>
    </row>
    <row r="72" spans="1:6">
      <c r="A72" s="72"/>
      <c r="B72" s="57">
        <v>650</v>
      </c>
      <c r="C72" s="42" t="s">
        <v>412</v>
      </c>
      <c r="D72" s="39"/>
      <c r="E72" s="39" t="s">
        <v>120</v>
      </c>
      <c r="F72" s="58" t="s">
        <v>413</v>
      </c>
    </row>
    <row r="73" spans="1:6">
      <c r="A73" s="72"/>
      <c r="B73" s="57">
        <v>660</v>
      </c>
      <c r="C73" s="108" t="s">
        <v>414</v>
      </c>
      <c r="D73" s="77"/>
      <c r="E73" s="77" t="s">
        <v>120</v>
      </c>
      <c r="F73" s="78" t="s">
        <v>415</v>
      </c>
    </row>
    <row r="74" spans="1:6">
      <c r="A74" s="72"/>
      <c r="B74" s="57">
        <v>670</v>
      </c>
      <c r="C74" s="42" t="s">
        <v>416</v>
      </c>
      <c r="D74" s="39"/>
      <c r="E74" s="39" t="s">
        <v>120</v>
      </c>
      <c r="F74" s="58" t="s">
        <v>417</v>
      </c>
    </row>
    <row r="75" spans="1:6">
      <c r="A75" s="72"/>
      <c r="B75" s="57">
        <v>680</v>
      </c>
      <c r="C75" s="108" t="s">
        <v>418</v>
      </c>
      <c r="D75" s="77"/>
      <c r="E75" s="77" t="s">
        <v>120</v>
      </c>
      <c r="F75" s="78" t="s">
        <v>419</v>
      </c>
    </row>
    <row r="76" spans="1:6">
      <c r="A76" s="72"/>
      <c r="B76" s="57">
        <v>690</v>
      </c>
      <c r="C76" s="42" t="s">
        <v>420</v>
      </c>
      <c r="D76" s="39"/>
      <c r="E76" s="39" t="s">
        <v>120</v>
      </c>
      <c r="F76" s="58" t="s">
        <v>421</v>
      </c>
    </row>
    <row r="77" spans="1:6">
      <c r="A77" s="72"/>
      <c r="B77" s="57">
        <v>700</v>
      </c>
      <c r="C77" s="116" t="s">
        <v>422</v>
      </c>
      <c r="D77" s="80"/>
      <c r="E77" s="45" t="s">
        <v>135</v>
      </c>
      <c r="F77" s="61" t="s">
        <v>423</v>
      </c>
    </row>
    <row r="78" spans="1:6">
      <c r="A78" s="72"/>
      <c r="B78" s="57">
        <v>710</v>
      </c>
      <c r="C78" s="42" t="s">
        <v>370</v>
      </c>
      <c r="D78" s="39"/>
      <c r="E78" s="39" t="s">
        <v>120</v>
      </c>
      <c r="F78" s="58" t="s">
        <v>424</v>
      </c>
    </row>
    <row r="79" spans="1:6">
      <c r="A79" s="72"/>
      <c r="B79" s="57">
        <v>720</v>
      </c>
      <c r="C79" s="108" t="s">
        <v>372</v>
      </c>
      <c r="D79" s="77"/>
      <c r="E79" s="77" t="s">
        <v>120</v>
      </c>
      <c r="F79" s="81" t="s">
        <v>425</v>
      </c>
    </row>
    <row r="80" spans="1:6">
      <c r="A80" s="72"/>
      <c r="B80" s="57">
        <v>730</v>
      </c>
      <c r="C80" s="42" t="s">
        <v>374</v>
      </c>
      <c r="D80" s="39"/>
      <c r="E80" s="39" t="s">
        <v>120</v>
      </c>
      <c r="F80" s="58" t="s">
        <v>426</v>
      </c>
    </row>
    <row r="81" spans="1:6">
      <c r="A81" s="72"/>
      <c r="B81" s="57">
        <v>740</v>
      </c>
      <c r="C81" s="76" t="s">
        <v>376</v>
      </c>
      <c r="D81" s="39"/>
      <c r="E81" s="39" t="s">
        <v>120</v>
      </c>
      <c r="F81" s="58" t="s">
        <v>427</v>
      </c>
    </row>
    <row r="82" spans="1:6">
      <c r="A82" s="72"/>
      <c r="B82" s="57">
        <v>750</v>
      </c>
      <c r="C82" s="76" t="s">
        <v>428</v>
      </c>
      <c r="D82" s="39"/>
      <c r="E82" s="39" t="s">
        <v>135</v>
      </c>
      <c r="F82" s="58" t="s">
        <v>429</v>
      </c>
    </row>
    <row r="83" spans="1:6">
      <c r="A83" s="72"/>
      <c r="B83" s="57">
        <v>760</v>
      </c>
      <c r="C83" s="42" t="s">
        <v>378</v>
      </c>
      <c r="D83" s="39"/>
      <c r="E83" s="39" t="s">
        <v>120</v>
      </c>
      <c r="F83" s="58" t="s">
        <v>430</v>
      </c>
    </row>
    <row r="84" spans="1:6">
      <c r="A84" s="72"/>
      <c r="B84" s="57">
        <v>770</v>
      </c>
      <c r="C84" s="117" t="s">
        <v>638</v>
      </c>
      <c r="D84" s="118" t="str">
        <f>+B84&amp;"="&amp;B58&amp;"-"&amp;B59&amp;"-"&amp;B60&amp;"+"&amp;B61&amp;"-"&amp;B62&amp;"+"&amp;B63&amp;"-"&amp;B64&amp;"-"&amp;B65&amp;"+"&amp;B66&amp;"-"&amp;B67&amp;"+"&amp;B68&amp;"-"&amp;B69&amp;"+"&amp;B70&amp;"-"&amp;B71&amp;"+"&amp;B72&amp;"-"&amp;B73&amp;"+"&amp;B74&amp;"-"&amp;B75&amp;"+"&amp;B76&amp;"+"&amp;B77&amp;"+"&amp;B78&amp;"-"&amp;B79&amp;"+"&amp;B80&amp;"-"&amp;B81&amp;"+"&amp;B82&amp;"+"&amp;B83</f>
        <v>770=510-520-530+540-550+560-570-580+590-600+610-620+630-640+650-660+670-680+690+700+710-720+730-740+750+760</v>
      </c>
      <c r="E84" s="113" t="s">
        <v>12</v>
      </c>
      <c r="F84" s="119" t="s">
        <v>639</v>
      </c>
    </row>
    <row r="85" spans="1:6">
      <c r="A85" s="72"/>
      <c r="B85" s="57">
        <v>780</v>
      </c>
      <c r="C85" s="120" t="s">
        <v>540</v>
      </c>
      <c r="D85" s="121"/>
      <c r="E85" s="121" t="s">
        <v>12</v>
      </c>
      <c r="F85" s="122" t="s">
        <v>640</v>
      </c>
    </row>
    <row r="86" spans="1:6">
      <c r="A86" s="72"/>
      <c r="B86" s="57">
        <v>790</v>
      </c>
      <c r="C86" s="92" t="s">
        <v>641</v>
      </c>
      <c r="D86" s="123"/>
      <c r="E86" s="106" t="s">
        <v>12</v>
      </c>
      <c r="F86" s="91" t="s">
        <v>642</v>
      </c>
    </row>
    <row r="87" spans="1:6">
      <c r="A87" s="72"/>
      <c r="B87" s="57">
        <v>800</v>
      </c>
      <c r="C87" s="92" t="s">
        <v>643</v>
      </c>
      <c r="D87" s="123"/>
      <c r="E87" s="106" t="s">
        <v>12</v>
      </c>
      <c r="F87" s="91" t="s">
        <v>644</v>
      </c>
    </row>
    <row r="88" spans="1:6">
      <c r="A88" s="72"/>
      <c r="B88" s="57">
        <v>810</v>
      </c>
      <c r="C88" s="92" t="s">
        <v>645</v>
      </c>
      <c r="D88" s="123"/>
      <c r="E88" s="106" t="s">
        <v>12</v>
      </c>
      <c r="F88" s="91" t="s">
        <v>646</v>
      </c>
    </row>
    <row r="89" spans="1:6">
      <c r="A89" s="72"/>
      <c r="B89" s="57">
        <v>820</v>
      </c>
      <c r="C89" s="92" t="s">
        <v>647</v>
      </c>
      <c r="D89" s="123"/>
      <c r="E89" s="106" t="s">
        <v>12</v>
      </c>
      <c r="F89" s="91" t="s">
        <v>648</v>
      </c>
    </row>
    <row r="90" spans="1:6">
      <c r="A90" s="72"/>
      <c r="B90" s="57">
        <v>830</v>
      </c>
      <c r="C90" s="92" t="s">
        <v>649</v>
      </c>
      <c r="D90" s="123"/>
      <c r="E90" s="106" t="s">
        <v>12</v>
      </c>
      <c r="F90" s="91" t="s">
        <v>650</v>
      </c>
    </row>
    <row r="91" spans="1:6">
      <c r="A91" s="72"/>
      <c r="B91" s="57">
        <v>840</v>
      </c>
      <c r="C91" s="92" t="s">
        <v>651</v>
      </c>
      <c r="D91" s="123"/>
      <c r="E91" s="106" t="s">
        <v>12</v>
      </c>
      <c r="F91" s="91" t="s">
        <v>652</v>
      </c>
    </row>
    <row r="92" spans="1:6">
      <c r="A92" s="72"/>
      <c r="B92" s="57">
        <v>850</v>
      </c>
      <c r="C92" s="92" t="s">
        <v>653</v>
      </c>
      <c r="D92" s="123"/>
      <c r="E92" s="106" t="s">
        <v>12</v>
      </c>
      <c r="F92" s="91" t="s">
        <v>654</v>
      </c>
    </row>
    <row r="93" spans="1:6">
      <c r="A93" s="72"/>
      <c r="B93" s="57">
        <v>860</v>
      </c>
      <c r="C93" s="92" t="s">
        <v>655</v>
      </c>
      <c r="D93" s="123"/>
      <c r="E93" s="106" t="s">
        <v>12</v>
      </c>
      <c r="F93" s="91" t="s">
        <v>656</v>
      </c>
    </row>
    <row r="94" spans="1:6">
      <c r="A94" s="72"/>
      <c r="B94" s="57">
        <v>870</v>
      </c>
      <c r="C94" s="92" t="s">
        <v>657</v>
      </c>
      <c r="D94" s="123"/>
      <c r="E94" s="106" t="s">
        <v>12</v>
      </c>
      <c r="F94" s="91" t="s">
        <v>658</v>
      </c>
    </row>
    <row r="95" spans="1:6">
      <c r="A95" s="72"/>
      <c r="B95" s="57">
        <v>880</v>
      </c>
      <c r="C95" s="92" t="s">
        <v>659</v>
      </c>
      <c r="D95" s="123"/>
      <c r="E95" s="106" t="s">
        <v>12</v>
      </c>
      <c r="F95" s="91" t="s">
        <v>660</v>
      </c>
    </row>
    <row r="96" spans="1:6">
      <c r="A96" s="72"/>
      <c r="B96" s="57">
        <v>890</v>
      </c>
      <c r="C96" s="92" t="s">
        <v>661</v>
      </c>
      <c r="D96" s="123"/>
      <c r="E96" s="106" t="s">
        <v>12</v>
      </c>
      <c r="F96" s="91" t="s">
        <v>662</v>
      </c>
    </row>
    <row r="97" spans="1:6">
      <c r="A97" s="72"/>
      <c r="B97" s="57">
        <v>900</v>
      </c>
      <c r="C97" s="92" t="s">
        <v>663</v>
      </c>
      <c r="D97" s="123"/>
      <c r="E97" s="106" t="s">
        <v>12</v>
      </c>
      <c r="F97" s="91" t="s">
        <v>664</v>
      </c>
    </row>
    <row r="98" spans="1:6">
      <c r="A98" s="72"/>
      <c r="B98" s="57">
        <v>910</v>
      </c>
      <c r="C98" s="92" t="s">
        <v>665</v>
      </c>
      <c r="D98" s="123"/>
      <c r="E98" s="106" t="s">
        <v>12</v>
      </c>
      <c r="F98" s="91" t="s">
        <v>666</v>
      </c>
    </row>
    <row r="99" spans="1:6">
      <c r="A99" s="72"/>
      <c r="B99" s="57">
        <v>920</v>
      </c>
      <c r="C99" s="92" t="s">
        <v>633</v>
      </c>
      <c r="D99" s="123"/>
      <c r="E99" s="106" t="s">
        <v>12</v>
      </c>
      <c r="F99" s="91" t="s">
        <v>773</v>
      </c>
    </row>
    <row r="100" spans="1:6">
      <c r="A100" s="72"/>
      <c r="B100" s="57">
        <v>930</v>
      </c>
      <c r="C100" s="92" t="s">
        <v>667</v>
      </c>
      <c r="D100" s="106" t="str">
        <f>+B100&amp;"="&amp;B86&amp;"+"&amp;B87&amp;"+"&amp;B88&amp;"+"&amp;B89&amp;"+"&amp;B90&amp;"+"&amp;B91&amp;"+"&amp;B92&amp;"-"&amp;B93&amp;"-"&amp;B94&amp;"-"&amp;B95&amp;"-"&amp;B96&amp;"-"&amp;B97&amp;"-"&amp;B98&amp;"+"&amp;B99</f>
        <v>930=790+800+810+820+830+840+850-860-870-880-890-900-910+920</v>
      </c>
      <c r="E100" s="106" t="s">
        <v>12</v>
      </c>
      <c r="F100" s="91" t="s">
        <v>668</v>
      </c>
    </row>
    <row r="101" spans="1:6">
      <c r="A101" s="72"/>
      <c r="B101" s="57">
        <v>940</v>
      </c>
      <c r="C101" s="44" t="s">
        <v>431</v>
      </c>
      <c r="D101" s="43" t="str">
        <f>+B101&amp;"="&amp;B84&amp;"+"&amp;B100</f>
        <v>940=770+930</v>
      </c>
      <c r="E101" s="39" t="s">
        <v>120</v>
      </c>
      <c r="F101" s="58" t="s">
        <v>432</v>
      </c>
    </row>
    <row r="102" spans="1:6">
      <c r="A102" s="72"/>
      <c r="B102" s="57">
        <v>950</v>
      </c>
      <c r="C102" s="40" t="s">
        <v>433</v>
      </c>
      <c r="D102" s="39"/>
      <c r="E102" s="39" t="s">
        <v>120</v>
      </c>
      <c r="F102" s="58" t="s">
        <v>434</v>
      </c>
    </row>
    <row r="103" spans="1:6">
      <c r="A103" s="72"/>
      <c r="B103" s="57">
        <v>960</v>
      </c>
      <c r="C103" s="88" t="s">
        <v>479</v>
      </c>
      <c r="D103" s="106"/>
      <c r="E103" s="106" t="s">
        <v>12</v>
      </c>
      <c r="F103" s="115" t="s">
        <v>669</v>
      </c>
    </row>
    <row r="104" spans="1:6">
      <c r="A104" s="72"/>
      <c r="B104" s="57">
        <v>970</v>
      </c>
      <c r="C104" s="76" t="s">
        <v>435</v>
      </c>
      <c r="D104" s="39"/>
      <c r="E104" s="39" t="s">
        <v>120</v>
      </c>
      <c r="F104" s="61" t="s">
        <v>436</v>
      </c>
    </row>
    <row r="105" spans="1:6">
      <c r="A105" s="72"/>
      <c r="B105" s="57">
        <v>980</v>
      </c>
      <c r="C105" s="124" t="s">
        <v>437</v>
      </c>
      <c r="D105" s="39"/>
      <c r="E105" s="39" t="s">
        <v>120</v>
      </c>
      <c r="F105" s="61" t="s">
        <v>438</v>
      </c>
    </row>
    <row r="106" spans="1:6">
      <c r="A106" s="72"/>
      <c r="B106" s="57">
        <v>990</v>
      </c>
      <c r="C106" s="42" t="s">
        <v>439</v>
      </c>
      <c r="D106" s="39"/>
      <c r="E106" s="39" t="s">
        <v>120</v>
      </c>
      <c r="F106" s="58" t="s">
        <v>440</v>
      </c>
    </row>
    <row r="107" spans="1:6">
      <c r="A107" s="72"/>
      <c r="B107" s="57">
        <v>1000</v>
      </c>
      <c r="C107" s="42" t="s">
        <v>441</v>
      </c>
      <c r="D107" s="39"/>
      <c r="E107" s="39" t="s">
        <v>120</v>
      </c>
      <c r="F107" s="58" t="s">
        <v>442</v>
      </c>
    </row>
    <row r="108" spans="1:6">
      <c r="A108" s="72"/>
      <c r="B108" s="57">
        <v>1010</v>
      </c>
      <c r="C108" s="42" t="s">
        <v>443</v>
      </c>
      <c r="D108" s="39"/>
      <c r="E108" s="39" t="s">
        <v>120</v>
      </c>
      <c r="F108" s="58" t="s">
        <v>444</v>
      </c>
    </row>
    <row r="109" spans="1:6">
      <c r="A109" s="72"/>
      <c r="B109" s="57">
        <v>1020</v>
      </c>
      <c r="C109" s="42" t="s">
        <v>445</v>
      </c>
      <c r="D109" s="39"/>
      <c r="E109" s="39" t="s">
        <v>120</v>
      </c>
      <c r="F109" s="58" t="s">
        <v>446</v>
      </c>
    </row>
    <row r="110" spans="1:6">
      <c r="A110" s="72"/>
      <c r="B110" s="57">
        <v>1030</v>
      </c>
      <c r="C110" s="42" t="s">
        <v>447</v>
      </c>
      <c r="D110" s="39" t="str">
        <f>+B110&amp;"="&amp;B111&amp;"+"&amp;B112</f>
        <v>1030=1040+1050</v>
      </c>
      <c r="E110" s="39" t="s">
        <v>120</v>
      </c>
      <c r="F110" s="58" t="s">
        <v>448</v>
      </c>
    </row>
    <row r="111" spans="1:6">
      <c r="A111" s="72"/>
      <c r="B111" s="57">
        <v>1040</v>
      </c>
      <c r="C111" s="47" t="s">
        <v>449</v>
      </c>
      <c r="D111" s="39"/>
      <c r="E111" s="39" t="s">
        <v>135</v>
      </c>
      <c r="F111" s="79" t="s">
        <v>450</v>
      </c>
    </row>
    <row r="112" spans="1:6">
      <c r="A112" s="72"/>
      <c r="B112" s="57">
        <v>1050</v>
      </c>
      <c r="C112" s="47" t="s">
        <v>451</v>
      </c>
      <c r="D112" s="39"/>
      <c r="E112" s="39" t="s">
        <v>135</v>
      </c>
      <c r="F112" s="79" t="s">
        <v>452</v>
      </c>
    </row>
    <row r="113" spans="1:6">
      <c r="A113" s="72"/>
      <c r="B113" s="57">
        <v>1060</v>
      </c>
      <c r="C113" s="116" t="s">
        <v>453</v>
      </c>
      <c r="D113" s="82"/>
      <c r="E113" s="45" t="s">
        <v>135</v>
      </c>
      <c r="F113" s="61" t="s">
        <v>454</v>
      </c>
    </row>
    <row r="114" spans="1:6">
      <c r="A114" s="72"/>
      <c r="B114" s="57">
        <v>1070</v>
      </c>
      <c r="C114" s="108" t="s">
        <v>455</v>
      </c>
      <c r="D114" s="77"/>
      <c r="E114" s="77" t="s">
        <v>120</v>
      </c>
      <c r="F114" s="78" t="s">
        <v>456</v>
      </c>
    </row>
    <row r="115" spans="1:6">
      <c r="A115" s="72"/>
      <c r="B115" s="57">
        <v>1080</v>
      </c>
      <c r="C115" s="108" t="s">
        <v>457</v>
      </c>
      <c r="D115" s="77"/>
      <c r="E115" s="77" t="s">
        <v>120</v>
      </c>
      <c r="F115" s="78" t="s">
        <v>458</v>
      </c>
    </row>
    <row r="116" spans="1:6">
      <c r="A116" s="148" t="s">
        <v>776</v>
      </c>
      <c r="B116" s="57">
        <v>1085</v>
      </c>
      <c r="C116" s="108" t="s">
        <v>774</v>
      </c>
      <c r="D116" s="77"/>
      <c r="E116" s="77" t="s">
        <v>120</v>
      </c>
      <c r="F116" s="78" t="s">
        <v>775</v>
      </c>
    </row>
    <row r="117" spans="1:6">
      <c r="A117" s="72"/>
      <c r="B117" s="57">
        <v>1090</v>
      </c>
      <c r="C117" s="116" t="s">
        <v>459</v>
      </c>
      <c r="D117" s="82"/>
      <c r="E117" s="45" t="s">
        <v>135</v>
      </c>
      <c r="F117" s="61" t="s">
        <v>460</v>
      </c>
    </row>
    <row r="118" spans="1:6">
      <c r="A118" s="72"/>
      <c r="B118" s="57">
        <v>1100</v>
      </c>
      <c r="C118" s="42" t="s">
        <v>412</v>
      </c>
      <c r="D118" s="39"/>
      <c r="E118" s="39" t="s">
        <v>120</v>
      </c>
      <c r="F118" s="58" t="s">
        <v>461</v>
      </c>
    </row>
    <row r="119" spans="1:6">
      <c r="A119" s="72"/>
      <c r="B119" s="57">
        <v>1110</v>
      </c>
      <c r="C119" s="108" t="s">
        <v>368</v>
      </c>
      <c r="D119" s="77"/>
      <c r="E119" s="77" t="s">
        <v>120</v>
      </c>
      <c r="F119" s="78" t="s">
        <v>462</v>
      </c>
    </row>
    <row r="120" spans="1:6">
      <c r="A120" s="72"/>
      <c r="B120" s="57">
        <v>1120</v>
      </c>
      <c r="C120" s="108" t="s">
        <v>372</v>
      </c>
      <c r="D120" s="77"/>
      <c r="E120" s="77" t="s">
        <v>120</v>
      </c>
      <c r="F120" s="83" t="s">
        <v>463</v>
      </c>
    </row>
    <row r="121" spans="1:6">
      <c r="A121" s="72"/>
      <c r="B121" s="57">
        <v>1130</v>
      </c>
      <c r="C121" s="76" t="s">
        <v>376</v>
      </c>
      <c r="D121" s="39"/>
      <c r="E121" s="39" t="s">
        <v>120</v>
      </c>
      <c r="F121" s="58" t="s">
        <v>464</v>
      </c>
    </row>
    <row r="122" spans="1:6">
      <c r="A122" s="72"/>
      <c r="B122" s="57">
        <v>1140</v>
      </c>
      <c r="C122" s="42" t="s">
        <v>378</v>
      </c>
      <c r="D122" s="39"/>
      <c r="E122" s="39" t="s">
        <v>120</v>
      </c>
      <c r="F122" s="58" t="s">
        <v>465</v>
      </c>
    </row>
    <row r="123" spans="1:6">
      <c r="A123" s="72"/>
      <c r="B123" s="57">
        <v>1150</v>
      </c>
      <c r="C123" s="92" t="s">
        <v>670</v>
      </c>
      <c r="D123" s="106" t="str">
        <f>+B123&amp;"="&amp;B104&amp;"-"&amp;B105&amp;"+"&amp;B106&amp;"+"&amp;B107&amp;"-"&amp;B108&amp;"-"&amp;B109&amp;"+"&amp;B110&amp;"+"&amp;B113&amp;"-"&amp;B114&amp;"-"&amp;B115&amp;"-"&amp;B116&amp;"-"&amp;B117&amp;"+"&amp;B118&amp;"-"&amp;B119&amp;"-"&amp;B120&amp;"-"&amp;B121&amp;"+"&amp;B122</f>
        <v>1150=970-980+990+1000-1010-1020+1030+1060-1070-1080-1085-1090+1100-1110-1120-1130+1140</v>
      </c>
      <c r="E123" s="106" t="s">
        <v>12</v>
      </c>
      <c r="F123" s="91" t="s">
        <v>671</v>
      </c>
    </row>
    <row r="124" spans="1:6">
      <c r="A124" s="72"/>
      <c r="B124" s="57">
        <v>1160</v>
      </c>
      <c r="C124" s="88" t="s">
        <v>540</v>
      </c>
      <c r="D124" s="106"/>
      <c r="E124" s="106" t="s">
        <v>12</v>
      </c>
      <c r="F124" s="115" t="s">
        <v>672</v>
      </c>
    </row>
    <row r="125" spans="1:6">
      <c r="A125" s="72"/>
      <c r="B125" s="57">
        <v>1170</v>
      </c>
      <c r="C125" s="92" t="s">
        <v>673</v>
      </c>
      <c r="D125" s="123"/>
      <c r="E125" s="106" t="s">
        <v>12</v>
      </c>
      <c r="F125" s="91" t="s">
        <v>674</v>
      </c>
    </row>
    <row r="126" spans="1:6">
      <c r="A126" s="72"/>
      <c r="B126" s="57">
        <v>1180</v>
      </c>
      <c r="C126" s="92" t="s">
        <v>675</v>
      </c>
      <c r="D126" s="123"/>
      <c r="E126" s="106" t="s">
        <v>12</v>
      </c>
      <c r="F126" s="91" t="s">
        <v>676</v>
      </c>
    </row>
    <row r="127" spans="1:6">
      <c r="A127" s="72"/>
      <c r="B127" s="57">
        <v>1190</v>
      </c>
      <c r="C127" s="92" t="s">
        <v>677</v>
      </c>
      <c r="D127" s="123"/>
      <c r="E127" s="106" t="s">
        <v>12</v>
      </c>
      <c r="F127" s="91" t="s">
        <v>678</v>
      </c>
    </row>
    <row r="128" spans="1:6">
      <c r="A128" s="72"/>
      <c r="B128" s="57">
        <v>1200</v>
      </c>
      <c r="C128" s="92" t="s">
        <v>679</v>
      </c>
      <c r="D128" s="123"/>
      <c r="E128" s="106" t="s">
        <v>12</v>
      </c>
      <c r="F128" s="91" t="s">
        <v>680</v>
      </c>
    </row>
    <row r="129" spans="1:6">
      <c r="A129" s="72"/>
      <c r="B129" s="57">
        <v>1210</v>
      </c>
      <c r="C129" s="92" t="s">
        <v>681</v>
      </c>
      <c r="D129" s="123"/>
      <c r="E129" s="106" t="s">
        <v>12</v>
      </c>
      <c r="F129" s="91" t="s">
        <v>682</v>
      </c>
    </row>
    <row r="130" spans="1:6">
      <c r="A130" s="72"/>
      <c r="B130" s="57">
        <v>1220</v>
      </c>
      <c r="C130" s="92" t="s">
        <v>372</v>
      </c>
      <c r="D130" s="123"/>
      <c r="E130" s="106" t="s">
        <v>12</v>
      </c>
      <c r="F130" s="91" t="s">
        <v>683</v>
      </c>
    </row>
    <row r="131" spans="1:6">
      <c r="A131" s="72"/>
      <c r="B131" s="57">
        <v>1230</v>
      </c>
      <c r="C131" s="92" t="s">
        <v>684</v>
      </c>
      <c r="D131" s="123"/>
      <c r="E131" s="106" t="s">
        <v>12</v>
      </c>
      <c r="F131" s="91" t="s">
        <v>685</v>
      </c>
    </row>
    <row r="132" spans="1:6">
      <c r="A132" s="72"/>
      <c r="B132" s="57">
        <v>1240</v>
      </c>
      <c r="C132" s="92" t="s">
        <v>686</v>
      </c>
      <c r="D132" s="123"/>
      <c r="E132" s="106" t="s">
        <v>12</v>
      </c>
      <c r="F132" s="91" t="s">
        <v>687</v>
      </c>
    </row>
    <row r="133" spans="1:6">
      <c r="A133" s="72"/>
      <c r="B133" s="57">
        <v>1250</v>
      </c>
      <c r="C133" s="92" t="s">
        <v>633</v>
      </c>
      <c r="D133" s="123"/>
      <c r="E133" s="106" t="s">
        <v>12</v>
      </c>
      <c r="F133" s="91" t="s">
        <v>688</v>
      </c>
    </row>
    <row r="134" spans="1:6">
      <c r="A134" s="72"/>
      <c r="B134" s="57">
        <v>1260</v>
      </c>
      <c r="C134" s="92" t="s">
        <v>689</v>
      </c>
      <c r="D134" s="106" t="str">
        <f>+B134&amp;"="&amp;B125&amp;"+"&amp;B126&amp;"+"&amp;B127&amp;"+"&amp;B128&amp;"-"&amp;B129&amp;"-"&amp;B130&amp;"-"&amp;B131&amp;"-"&amp;B132&amp;"+"&amp;B133</f>
        <v>1260=1170+1180+1190+1200-1210-1220-1230-1240+1250</v>
      </c>
      <c r="E134" s="106" t="s">
        <v>12</v>
      </c>
      <c r="F134" s="91" t="s">
        <v>690</v>
      </c>
    </row>
    <row r="135" spans="1:6">
      <c r="A135" s="72"/>
      <c r="B135" s="57">
        <v>1270</v>
      </c>
      <c r="C135" s="44" t="s">
        <v>466</v>
      </c>
      <c r="D135" s="43" t="str">
        <f>+B135&amp;"="&amp;B123&amp;"+"&amp;B134</f>
        <v>1270=1150+1260</v>
      </c>
      <c r="E135" s="39" t="s">
        <v>120</v>
      </c>
      <c r="F135" s="58" t="s">
        <v>467</v>
      </c>
    </row>
    <row r="136" spans="1:6">
      <c r="A136" s="72"/>
      <c r="B136" s="57">
        <v>1280</v>
      </c>
      <c r="C136" s="40" t="s">
        <v>468</v>
      </c>
      <c r="D136" s="39" t="str">
        <f>+B136&amp;"="&amp;B55&amp;"+"&amp;B101&amp;"+"&amp;B135</f>
        <v>1280=480+940+1270</v>
      </c>
      <c r="E136" s="39" t="s">
        <v>120</v>
      </c>
      <c r="F136" s="58" t="s">
        <v>469</v>
      </c>
    </row>
    <row r="137" spans="1:6">
      <c r="A137" s="72"/>
      <c r="B137" s="57">
        <v>1290</v>
      </c>
      <c r="C137" s="40" t="s">
        <v>470</v>
      </c>
      <c r="D137" s="39"/>
      <c r="E137" s="39" t="s">
        <v>120</v>
      </c>
      <c r="F137" s="58" t="s">
        <v>471</v>
      </c>
    </row>
    <row r="138" spans="1:6">
      <c r="A138" s="72"/>
      <c r="B138" s="57">
        <v>1300</v>
      </c>
      <c r="C138" s="44" t="s">
        <v>472</v>
      </c>
      <c r="D138" s="39"/>
      <c r="E138" s="39" t="s">
        <v>120</v>
      </c>
      <c r="F138" s="58" t="s">
        <v>473</v>
      </c>
    </row>
    <row r="139" spans="1:6">
      <c r="A139" s="72"/>
      <c r="B139" s="57">
        <v>1310</v>
      </c>
      <c r="C139" s="40" t="s">
        <v>474</v>
      </c>
      <c r="D139" s="39" t="str">
        <f>+B139&amp;"="&amp;B136&amp;"+"&amp;B138</f>
        <v>1310=1280+1300</v>
      </c>
      <c r="E139" s="39" t="s">
        <v>120</v>
      </c>
      <c r="F139" s="58" t="s">
        <v>475</v>
      </c>
    </row>
    <row r="140" spans="1:6">
      <c r="A140" s="72"/>
      <c r="B140" s="57">
        <v>1320</v>
      </c>
      <c r="C140" s="40" t="s">
        <v>476</v>
      </c>
      <c r="D140" s="39"/>
      <c r="E140" s="39" t="s">
        <v>135</v>
      </c>
      <c r="F140" s="58" t="s">
        <v>477</v>
      </c>
    </row>
    <row r="141" spans="1:6">
      <c r="A141" s="72"/>
      <c r="B141" s="57">
        <v>1330</v>
      </c>
      <c r="C141" s="40" t="s">
        <v>478</v>
      </c>
      <c r="D141" s="39"/>
      <c r="E141" s="39" t="s">
        <v>135</v>
      </c>
      <c r="F141" s="58" t="s">
        <v>477</v>
      </c>
    </row>
    <row r="142" spans="1:6">
      <c r="A142" s="72"/>
      <c r="B142" s="69" t="s">
        <v>55</v>
      </c>
      <c r="C142" s="84"/>
      <c r="D142" s="85"/>
      <c r="E142" s="86" t="s">
        <v>55</v>
      </c>
      <c r="F142" s="87"/>
    </row>
    <row r="143" spans="1:6">
      <c r="A143" s="72"/>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16"/>
  <sheetViews>
    <sheetView topLeftCell="A62" workbookViewId="0">
      <selection activeCell="Q76" sqref="Q76"/>
    </sheetView>
  </sheetViews>
  <sheetFormatPr baseColWidth="10" defaultRowHeight="15"/>
  <sheetData>
    <row r="1" spans="1:15">
      <c r="A1" s="125"/>
      <c r="B1" s="126" t="s">
        <v>691</v>
      </c>
      <c r="C1" s="126" t="s">
        <v>692</v>
      </c>
      <c r="D1" s="126" t="s">
        <v>693</v>
      </c>
      <c r="E1" s="126" t="s">
        <v>694</v>
      </c>
      <c r="F1" s="126" t="s">
        <v>695</v>
      </c>
      <c r="G1" s="126" t="s">
        <v>696</v>
      </c>
      <c r="H1" s="126" t="s">
        <v>697</v>
      </c>
      <c r="I1" s="126" t="s">
        <v>698</v>
      </c>
      <c r="J1" s="126" t="s">
        <v>699</v>
      </c>
      <c r="K1" s="126"/>
      <c r="L1" s="126" t="s">
        <v>700</v>
      </c>
      <c r="M1" s="126" t="s">
        <v>701</v>
      </c>
      <c r="N1" s="126" t="s">
        <v>702</v>
      </c>
      <c r="O1" s="126" t="s">
        <v>703</v>
      </c>
    </row>
    <row r="2" spans="1:15">
      <c r="B2" s="127" t="s">
        <v>12</v>
      </c>
      <c r="C2" s="128" t="s">
        <v>480</v>
      </c>
      <c r="D2" s="129" t="str">
        <f t="shared" ref="D2:D65" si="0">CONCATENATE(B2,"_",C2)</f>
        <v>cl-hs_ActivosNegociosNoAseguradoraPresentacion</v>
      </c>
      <c r="E2" s="130" t="s">
        <v>704</v>
      </c>
      <c r="F2" s="128" t="s">
        <v>705</v>
      </c>
      <c r="G2" s="131"/>
      <c r="H2" s="128" t="s">
        <v>706</v>
      </c>
      <c r="I2" s="128" t="s">
        <v>707</v>
      </c>
      <c r="J2" s="128" t="s">
        <v>707</v>
      </c>
      <c r="K2" s="132"/>
      <c r="L2" s="127" t="s">
        <v>479</v>
      </c>
      <c r="M2" s="132"/>
      <c r="N2" s="132"/>
      <c r="O2" s="132"/>
    </row>
    <row r="3" spans="1:15">
      <c r="B3" s="128" t="s">
        <v>12</v>
      </c>
      <c r="C3" s="127" t="s">
        <v>482</v>
      </c>
      <c r="D3" s="129" t="str">
        <f t="shared" si="0"/>
        <v>cl-hs_TotalActivosNegociosNoAseguradora</v>
      </c>
      <c r="E3" s="130" t="s">
        <v>708</v>
      </c>
      <c r="F3" s="128" t="s">
        <v>705</v>
      </c>
      <c r="G3" s="129" t="s">
        <v>709</v>
      </c>
      <c r="H3" s="128" t="s">
        <v>706</v>
      </c>
      <c r="I3" s="128" t="s">
        <v>710</v>
      </c>
      <c r="J3" s="128" t="s">
        <v>707</v>
      </c>
      <c r="K3" s="132"/>
      <c r="L3" s="127" t="s">
        <v>481</v>
      </c>
      <c r="M3" s="132"/>
      <c r="N3" s="132"/>
      <c r="O3" s="132"/>
    </row>
    <row r="4" spans="1:15">
      <c r="B4" s="127" t="s">
        <v>12</v>
      </c>
      <c r="C4" s="128" t="s">
        <v>484</v>
      </c>
      <c r="D4" s="129" t="str">
        <f t="shared" si="0"/>
        <v>cl-hs_ActivosServiciosAseguradoraPresentacion</v>
      </c>
      <c r="E4" s="130" t="s">
        <v>704</v>
      </c>
      <c r="F4" s="128" t="s">
        <v>705</v>
      </c>
      <c r="G4" s="129"/>
      <c r="H4" s="128" t="s">
        <v>706</v>
      </c>
      <c r="I4" s="128" t="s">
        <v>707</v>
      </c>
      <c r="J4" s="128" t="s">
        <v>707</v>
      </c>
      <c r="K4" s="132"/>
      <c r="L4" s="127" t="s">
        <v>483</v>
      </c>
      <c r="M4" s="132"/>
      <c r="N4" s="132"/>
      <c r="O4" s="132"/>
    </row>
    <row r="5" spans="1:15">
      <c r="B5" s="127" t="s">
        <v>12</v>
      </c>
      <c r="C5" s="128" t="s">
        <v>486</v>
      </c>
      <c r="D5" s="129" t="str">
        <f t="shared" si="0"/>
        <v>cl-hs_EfectivoDepositosBancos</v>
      </c>
      <c r="E5" s="130" t="s">
        <v>708</v>
      </c>
      <c r="F5" s="128" t="s">
        <v>705</v>
      </c>
      <c r="G5" s="129" t="s">
        <v>709</v>
      </c>
      <c r="H5" s="128" t="s">
        <v>706</v>
      </c>
      <c r="I5" s="128" t="s">
        <v>710</v>
      </c>
      <c r="J5" s="128" t="s">
        <v>707</v>
      </c>
      <c r="K5" s="132"/>
      <c r="L5" s="133" t="s">
        <v>485</v>
      </c>
      <c r="M5" s="132"/>
      <c r="N5" s="132"/>
      <c r="O5" s="132"/>
    </row>
    <row r="6" spans="1:15">
      <c r="B6" s="133" t="s">
        <v>12</v>
      </c>
      <c r="C6" s="133" t="s">
        <v>488</v>
      </c>
      <c r="D6" s="129" t="str">
        <f t="shared" si="0"/>
        <v>cl-hs_InversionesFinancierasActivosServiciosAseguradora</v>
      </c>
      <c r="E6" s="129" t="s">
        <v>708</v>
      </c>
      <c r="F6" s="129" t="s">
        <v>705</v>
      </c>
      <c r="G6" s="128" t="s">
        <v>709</v>
      </c>
      <c r="H6" s="128" t="s">
        <v>706</v>
      </c>
      <c r="I6" s="128" t="s">
        <v>710</v>
      </c>
      <c r="J6" s="128" t="s">
        <v>707</v>
      </c>
      <c r="K6" s="132"/>
      <c r="L6" s="133" t="s">
        <v>487</v>
      </c>
      <c r="M6" s="132"/>
      <c r="N6" s="132"/>
      <c r="O6" s="132"/>
    </row>
    <row r="7" spans="1:15">
      <c r="B7" s="133" t="s">
        <v>12</v>
      </c>
      <c r="C7" s="133" t="s">
        <v>490</v>
      </c>
      <c r="D7" s="129" t="str">
        <f t="shared" si="0"/>
        <v>cl-hs_InversionesInmobiliariasYSimilaresActivosActivosServiciosAseguradora</v>
      </c>
      <c r="E7" s="129" t="s">
        <v>708</v>
      </c>
      <c r="F7" s="129" t="s">
        <v>705</v>
      </c>
      <c r="G7" s="128" t="s">
        <v>709</v>
      </c>
      <c r="H7" s="128" t="s">
        <v>706</v>
      </c>
      <c r="I7" s="128" t="s">
        <v>710</v>
      </c>
      <c r="J7" s="128" t="s">
        <v>707</v>
      </c>
      <c r="K7" s="132"/>
      <c r="L7" s="133" t="s">
        <v>489</v>
      </c>
      <c r="M7" s="132"/>
      <c r="N7" s="132"/>
      <c r="O7" s="132"/>
    </row>
    <row r="8" spans="1:15">
      <c r="B8" s="133" t="s">
        <v>12</v>
      </c>
      <c r="C8" s="133" t="s">
        <v>492</v>
      </c>
      <c r="D8" s="129" t="str">
        <f t="shared" si="0"/>
        <v>cl-hs_InversionesCuentaUnicaInversionActivosServiciosAseguradora</v>
      </c>
      <c r="E8" s="129" t="s">
        <v>708</v>
      </c>
      <c r="F8" s="129" t="s">
        <v>705</v>
      </c>
      <c r="G8" s="128" t="s">
        <v>709</v>
      </c>
      <c r="H8" s="128" t="s">
        <v>706</v>
      </c>
      <c r="I8" s="128" t="s">
        <v>710</v>
      </c>
      <c r="J8" s="128" t="s">
        <v>707</v>
      </c>
      <c r="K8" s="132"/>
      <c r="L8" s="133" t="s">
        <v>491</v>
      </c>
      <c r="M8" s="132"/>
      <c r="N8" s="132"/>
      <c r="O8" s="132"/>
    </row>
    <row r="9" spans="1:15">
      <c r="B9" s="127" t="s">
        <v>12</v>
      </c>
      <c r="C9" s="128" t="s">
        <v>494</v>
      </c>
      <c r="D9" s="129" t="str">
        <f t="shared" si="0"/>
        <v>cl-hs_ContratosDerivadosFinancierosActivosAseguradora</v>
      </c>
      <c r="E9" s="130" t="s">
        <v>708</v>
      </c>
      <c r="F9" s="128" t="s">
        <v>705</v>
      </c>
      <c r="G9" s="129" t="s">
        <v>709</v>
      </c>
      <c r="H9" s="128" t="s">
        <v>706</v>
      </c>
      <c r="I9" s="128" t="s">
        <v>710</v>
      </c>
      <c r="J9" s="128" t="s">
        <v>707</v>
      </c>
      <c r="K9" s="132"/>
      <c r="L9" s="133" t="s">
        <v>493</v>
      </c>
      <c r="M9" s="132"/>
      <c r="N9" s="132"/>
      <c r="O9" s="132"/>
    </row>
    <row r="10" spans="1:15">
      <c r="B10" s="127" t="s">
        <v>12</v>
      </c>
      <c r="C10" s="128" t="s">
        <v>772</v>
      </c>
      <c r="D10" s="129" t="str">
        <f t="shared" si="0"/>
        <v>cl-hs_CreditosYCuentasCobrarAClientesAseguradora</v>
      </c>
      <c r="E10" s="130" t="s">
        <v>708</v>
      </c>
      <c r="F10" s="128" t="s">
        <v>705</v>
      </c>
      <c r="G10" s="129" t="s">
        <v>709</v>
      </c>
      <c r="H10" s="128" t="s">
        <v>706</v>
      </c>
      <c r="I10" s="128" t="s">
        <v>710</v>
      </c>
      <c r="J10" s="128" t="s">
        <v>707</v>
      </c>
      <c r="K10" s="132"/>
      <c r="L10" s="133" t="s">
        <v>495</v>
      </c>
      <c r="M10" s="132"/>
      <c r="N10" s="132"/>
      <c r="O10" s="132"/>
    </row>
    <row r="11" spans="1:15">
      <c r="B11" s="133" t="s">
        <v>12</v>
      </c>
      <c r="C11" s="133" t="s">
        <v>497</v>
      </c>
      <c r="D11" s="129" t="str">
        <f t="shared" si="0"/>
        <v>cl-hs_DeudoresPrimasAseguradosActivosServiciosAseguradora</v>
      </c>
      <c r="E11" s="129" t="s">
        <v>708</v>
      </c>
      <c r="F11" s="129" t="s">
        <v>705</v>
      </c>
      <c r="G11" s="128" t="s">
        <v>709</v>
      </c>
      <c r="H11" s="128" t="s">
        <v>706</v>
      </c>
      <c r="I11" s="128" t="s">
        <v>710</v>
      </c>
      <c r="J11" s="128" t="s">
        <v>707</v>
      </c>
      <c r="K11" s="132"/>
      <c r="L11" s="133" t="s">
        <v>496</v>
      </c>
      <c r="M11" s="132"/>
      <c r="N11" s="132"/>
      <c r="O11" s="132"/>
    </row>
    <row r="12" spans="1:15">
      <c r="B12" s="133" t="s">
        <v>12</v>
      </c>
      <c r="C12" s="133" t="s">
        <v>499</v>
      </c>
      <c r="D12" s="129" t="str">
        <f t="shared" si="0"/>
        <v>cl-hs_DeudoresReasegurosActivosServiciosAseguradora</v>
      </c>
      <c r="E12" s="129" t="s">
        <v>708</v>
      </c>
      <c r="F12" s="129" t="s">
        <v>705</v>
      </c>
      <c r="G12" s="128" t="s">
        <v>709</v>
      </c>
      <c r="H12" s="128" t="s">
        <v>706</v>
      </c>
      <c r="I12" s="128" t="s">
        <v>710</v>
      </c>
      <c r="J12" s="128" t="s">
        <v>707</v>
      </c>
      <c r="K12" s="132"/>
      <c r="L12" s="133" t="s">
        <v>498</v>
      </c>
      <c r="M12" s="132"/>
      <c r="N12" s="132"/>
      <c r="O12" s="132"/>
    </row>
    <row r="13" spans="1:15">
      <c r="B13" s="127" t="s">
        <v>12</v>
      </c>
      <c r="C13" s="128" t="s">
        <v>501</v>
      </c>
      <c r="D13" s="129" t="str">
        <f t="shared" si="0"/>
        <v>cl-hs_InversionesSociedadesAseguradora</v>
      </c>
      <c r="E13" s="130" t="s">
        <v>708</v>
      </c>
      <c r="F13" s="128" t="s">
        <v>705</v>
      </c>
      <c r="G13" s="129" t="s">
        <v>709</v>
      </c>
      <c r="H13" s="128" t="s">
        <v>706</v>
      </c>
      <c r="I13" s="128" t="s">
        <v>710</v>
      </c>
      <c r="J13" s="128" t="s">
        <v>707</v>
      </c>
      <c r="K13" s="132"/>
      <c r="L13" s="133" t="s">
        <v>500</v>
      </c>
      <c r="M13" s="132"/>
      <c r="N13" s="132"/>
      <c r="O13" s="132"/>
    </row>
    <row r="14" spans="1:15">
      <c r="B14" s="127" t="s">
        <v>12</v>
      </c>
      <c r="C14" s="128" t="s">
        <v>503</v>
      </c>
      <c r="D14" s="129" t="str">
        <f t="shared" si="0"/>
        <v>cl-hs_IntangiblesAseguradora</v>
      </c>
      <c r="E14" s="130" t="s">
        <v>708</v>
      </c>
      <c r="F14" s="128" t="s">
        <v>705</v>
      </c>
      <c r="G14" s="129" t="s">
        <v>709</v>
      </c>
      <c r="H14" s="128" t="s">
        <v>706</v>
      </c>
      <c r="I14" s="128" t="s">
        <v>710</v>
      </c>
      <c r="J14" s="128" t="s">
        <v>707</v>
      </c>
      <c r="K14" s="132"/>
      <c r="L14" s="133" t="s">
        <v>502</v>
      </c>
      <c r="M14" s="132"/>
      <c r="N14" s="132"/>
      <c r="O14" s="132"/>
    </row>
    <row r="15" spans="1:15">
      <c r="B15" s="127" t="s">
        <v>12</v>
      </c>
      <c r="C15" s="128" t="s">
        <v>505</v>
      </c>
      <c r="D15" s="129" t="str">
        <f t="shared" si="0"/>
        <v>cl-hs_ActivoFijoAseguradora</v>
      </c>
      <c r="E15" s="130" t="s">
        <v>708</v>
      </c>
      <c r="F15" s="128" t="s">
        <v>705</v>
      </c>
      <c r="G15" s="129" t="s">
        <v>709</v>
      </c>
      <c r="H15" s="128" t="s">
        <v>706</v>
      </c>
      <c r="I15" s="128" t="s">
        <v>710</v>
      </c>
      <c r="J15" s="128" t="s">
        <v>707</v>
      </c>
      <c r="K15" s="132"/>
      <c r="L15" s="133" t="s">
        <v>504</v>
      </c>
      <c r="M15" s="132"/>
      <c r="N15" s="132"/>
      <c r="O15" s="132"/>
    </row>
    <row r="16" spans="1:15">
      <c r="B16" s="127" t="s">
        <v>12</v>
      </c>
      <c r="C16" s="128" t="s">
        <v>507</v>
      </c>
      <c r="D16" s="129" t="str">
        <f t="shared" si="0"/>
        <v>cl-hs_ImpuestosCorrientesActivosAseguradora</v>
      </c>
      <c r="E16" s="130" t="s">
        <v>708</v>
      </c>
      <c r="F16" s="128" t="s">
        <v>705</v>
      </c>
      <c r="G16" s="129" t="s">
        <v>709</v>
      </c>
      <c r="H16" s="128" t="s">
        <v>706</v>
      </c>
      <c r="I16" s="128" t="s">
        <v>710</v>
      </c>
      <c r="J16" s="128" t="s">
        <v>707</v>
      </c>
      <c r="K16" s="132"/>
      <c r="L16" s="133" t="s">
        <v>506</v>
      </c>
      <c r="M16" s="132"/>
      <c r="N16" s="132"/>
      <c r="O16" s="132"/>
    </row>
    <row r="17" spans="2:15">
      <c r="B17" s="127" t="s">
        <v>12</v>
      </c>
      <c r="C17" s="128" t="s">
        <v>509</v>
      </c>
      <c r="D17" s="129" t="str">
        <f t="shared" si="0"/>
        <v>cl-hs_ImpuestosDiferidosActivosAseguradora</v>
      </c>
      <c r="E17" s="130" t="s">
        <v>708</v>
      </c>
      <c r="F17" s="128" t="s">
        <v>705</v>
      </c>
      <c r="G17" s="129" t="s">
        <v>709</v>
      </c>
      <c r="H17" s="128" t="s">
        <v>706</v>
      </c>
      <c r="I17" s="128" t="s">
        <v>710</v>
      </c>
      <c r="J17" s="128" t="s">
        <v>707</v>
      </c>
      <c r="K17" s="132"/>
      <c r="L17" s="133" t="s">
        <v>508</v>
      </c>
      <c r="M17" s="132"/>
      <c r="N17" s="132"/>
      <c r="O17" s="132"/>
    </row>
    <row r="18" spans="2:15">
      <c r="B18" s="127" t="s">
        <v>12</v>
      </c>
      <c r="C18" s="128" t="s">
        <v>511</v>
      </c>
      <c r="D18" s="129" t="str">
        <f t="shared" si="0"/>
        <v>cl-hs_OtrosActivosAseguradora</v>
      </c>
      <c r="E18" s="130" t="s">
        <v>708</v>
      </c>
      <c r="F18" s="128" t="s">
        <v>705</v>
      </c>
      <c r="G18" s="129" t="s">
        <v>709</v>
      </c>
      <c r="H18" s="128" t="s">
        <v>706</v>
      </c>
      <c r="I18" s="128" t="s">
        <v>710</v>
      </c>
      <c r="J18" s="128" t="s">
        <v>707</v>
      </c>
      <c r="K18" s="132"/>
      <c r="L18" s="133" t="s">
        <v>510</v>
      </c>
      <c r="M18" s="132"/>
      <c r="N18" s="132"/>
      <c r="O18" s="132"/>
    </row>
    <row r="19" spans="2:15">
      <c r="B19" s="127" t="s">
        <v>12</v>
      </c>
      <c r="C19" s="128" t="s">
        <v>513</v>
      </c>
      <c r="D19" s="129" t="str">
        <f t="shared" si="0"/>
        <v>cl-hs_TotalActivosServiciosAseguradora</v>
      </c>
      <c r="E19" s="130" t="s">
        <v>708</v>
      </c>
      <c r="F19" s="128" t="s">
        <v>705</v>
      </c>
      <c r="G19" s="129" t="s">
        <v>709</v>
      </c>
      <c r="H19" s="128" t="s">
        <v>706</v>
      </c>
      <c r="I19" s="128" t="s">
        <v>710</v>
      </c>
      <c r="J19" s="128" t="s">
        <v>707</v>
      </c>
      <c r="K19" s="132"/>
      <c r="L19" s="133" t="s">
        <v>512</v>
      </c>
      <c r="M19" s="132"/>
      <c r="N19" s="132"/>
      <c r="O19" s="132"/>
    </row>
    <row r="20" spans="2:15">
      <c r="B20" s="127" t="s">
        <v>12</v>
      </c>
      <c r="C20" s="128" t="s">
        <v>514</v>
      </c>
      <c r="D20" s="129" t="str">
        <f t="shared" si="0"/>
        <v>cl-hs_PasivosNegociosNoAseguradoraPresentacion</v>
      </c>
      <c r="E20" s="130" t="s">
        <v>704</v>
      </c>
      <c r="F20" s="128" t="s">
        <v>705</v>
      </c>
      <c r="G20" s="129"/>
      <c r="H20" s="128" t="s">
        <v>706</v>
      </c>
      <c r="I20" s="128" t="s">
        <v>707</v>
      </c>
      <c r="J20" s="128" t="s">
        <v>707</v>
      </c>
      <c r="K20" s="132"/>
      <c r="L20" s="127" t="s">
        <v>479</v>
      </c>
      <c r="M20" s="132"/>
      <c r="N20" s="132"/>
      <c r="O20" s="132"/>
    </row>
    <row r="21" spans="2:15">
      <c r="B21" s="128" t="s">
        <v>12</v>
      </c>
      <c r="C21" s="127" t="s">
        <v>516</v>
      </c>
      <c r="D21" s="129" t="str">
        <f t="shared" si="0"/>
        <v>cl-hs_TotalPasivosNegociosNoAseguradora</v>
      </c>
      <c r="E21" s="130" t="s">
        <v>708</v>
      </c>
      <c r="F21" s="128" t="s">
        <v>705</v>
      </c>
      <c r="G21" s="129" t="s">
        <v>711</v>
      </c>
      <c r="H21" s="128" t="s">
        <v>706</v>
      </c>
      <c r="I21" s="128" t="s">
        <v>710</v>
      </c>
      <c r="J21" s="128" t="s">
        <v>707</v>
      </c>
      <c r="K21" s="132"/>
      <c r="L21" s="127" t="s">
        <v>515</v>
      </c>
      <c r="M21" s="132"/>
      <c r="N21" s="132"/>
      <c r="O21" s="132"/>
    </row>
    <row r="22" spans="2:15">
      <c r="B22" s="127" t="s">
        <v>12</v>
      </c>
      <c r="C22" s="128" t="s">
        <v>518</v>
      </c>
      <c r="D22" s="129" t="str">
        <f t="shared" si="0"/>
        <v>cl-hs_PasivosServiciosAseguradoraPresentacion</v>
      </c>
      <c r="E22" s="130" t="s">
        <v>704</v>
      </c>
      <c r="F22" s="128" t="s">
        <v>705</v>
      </c>
      <c r="G22" s="129"/>
      <c r="H22" s="128" t="s">
        <v>706</v>
      </c>
      <c r="I22" s="128" t="s">
        <v>707</v>
      </c>
      <c r="J22" s="128" t="s">
        <v>707</v>
      </c>
      <c r="K22" s="132"/>
      <c r="L22" s="127" t="s">
        <v>517</v>
      </c>
      <c r="M22" s="132"/>
      <c r="N22" s="132"/>
      <c r="O22" s="132"/>
    </row>
    <row r="23" spans="2:15">
      <c r="B23" s="133" t="s">
        <v>12</v>
      </c>
      <c r="C23" s="133" t="s">
        <v>520</v>
      </c>
      <c r="D23" s="129" t="str">
        <f t="shared" si="0"/>
        <v>cl-hs_ReservaSegurosPrevisionalesPasivosAseguradora</v>
      </c>
      <c r="E23" s="130" t="s">
        <v>708</v>
      </c>
      <c r="F23" s="128" t="s">
        <v>705</v>
      </c>
      <c r="G23" s="129" t="s">
        <v>711</v>
      </c>
      <c r="H23" s="128" t="s">
        <v>706</v>
      </c>
      <c r="I23" s="128" t="s">
        <v>710</v>
      </c>
      <c r="J23" s="128" t="s">
        <v>707</v>
      </c>
      <c r="K23" s="132"/>
      <c r="L23" s="133" t="s">
        <v>519</v>
      </c>
      <c r="M23" s="132"/>
      <c r="N23" s="132"/>
      <c r="O23" s="132"/>
    </row>
    <row r="24" spans="2:15">
      <c r="B24" s="133" t="s">
        <v>12</v>
      </c>
      <c r="C24" s="133" t="s">
        <v>522</v>
      </c>
      <c r="D24" s="129" t="str">
        <f t="shared" si="0"/>
        <v>cl-hs_ReservaSegurosNoPrevisionalesPasivosAseguradora</v>
      </c>
      <c r="E24" s="130" t="s">
        <v>708</v>
      </c>
      <c r="F24" s="128" t="s">
        <v>705</v>
      </c>
      <c r="G24" s="129" t="s">
        <v>711</v>
      </c>
      <c r="H24" s="128" t="s">
        <v>706</v>
      </c>
      <c r="I24" s="128" t="s">
        <v>710</v>
      </c>
      <c r="J24" s="128" t="s">
        <v>707</v>
      </c>
      <c r="K24" s="132"/>
      <c r="L24" s="133" t="s">
        <v>521</v>
      </c>
      <c r="M24" s="132"/>
      <c r="N24" s="132"/>
      <c r="O24" s="132"/>
    </row>
    <row r="25" spans="2:15">
      <c r="B25" s="133" t="s">
        <v>12</v>
      </c>
      <c r="C25" s="133" t="s">
        <v>524</v>
      </c>
      <c r="D25" s="129" t="str">
        <f t="shared" si="0"/>
        <v>cl-hs_PrimasPagarPasivosAseguradora</v>
      </c>
      <c r="E25" s="130" t="s">
        <v>708</v>
      </c>
      <c r="F25" s="128" t="s">
        <v>705</v>
      </c>
      <c r="G25" s="129" t="s">
        <v>711</v>
      </c>
      <c r="H25" s="128" t="s">
        <v>706</v>
      </c>
      <c r="I25" s="128" t="s">
        <v>710</v>
      </c>
      <c r="J25" s="128" t="s">
        <v>707</v>
      </c>
      <c r="K25" s="132"/>
      <c r="L25" s="133" t="s">
        <v>523</v>
      </c>
      <c r="M25" s="132"/>
      <c r="N25" s="132"/>
      <c r="O25" s="132"/>
    </row>
    <row r="26" spans="2:15">
      <c r="B26" s="127" t="s">
        <v>12</v>
      </c>
      <c r="C26" s="128" t="s">
        <v>526</v>
      </c>
      <c r="D26" s="129" t="str">
        <f t="shared" si="0"/>
        <v>cl-hs_ObligacionesConBancos</v>
      </c>
      <c r="E26" s="130" t="s">
        <v>708</v>
      </c>
      <c r="F26" s="128" t="s">
        <v>705</v>
      </c>
      <c r="G26" s="129" t="s">
        <v>711</v>
      </c>
      <c r="H26" s="128" t="s">
        <v>706</v>
      </c>
      <c r="I26" s="128" t="s">
        <v>710</v>
      </c>
      <c r="J26" s="128" t="s">
        <v>707</v>
      </c>
      <c r="K26" s="132"/>
      <c r="L26" s="133" t="s">
        <v>525</v>
      </c>
      <c r="M26" s="132"/>
      <c r="N26" s="132"/>
      <c r="O26" s="132"/>
    </row>
    <row r="27" spans="2:15">
      <c r="B27" s="127" t="s">
        <v>12</v>
      </c>
      <c r="C27" s="128" t="s">
        <v>528</v>
      </c>
      <c r="D27" s="129" t="str">
        <f t="shared" si="0"/>
        <v>cl-hs_OtrasObligacionesFinancierasAseguradora</v>
      </c>
      <c r="E27" s="130" t="s">
        <v>708</v>
      </c>
      <c r="F27" s="128" t="s">
        <v>705</v>
      </c>
      <c r="G27" s="129" t="s">
        <v>711</v>
      </c>
      <c r="H27" s="128" t="s">
        <v>706</v>
      </c>
      <c r="I27" s="128" t="s">
        <v>710</v>
      </c>
      <c r="J27" s="128" t="s">
        <v>707</v>
      </c>
      <c r="K27" s="132"/>
      <c r="L27" s="133" t="s">
        <v>527</v>
      </c>
      <c r="M27" s="132"/>
      <c r="N27" s="132"/>
      <c r="O27" s="132"/>
    </row>
    <row r="28" spans="2:15">
      <c r="B28" s="127" t="s">
        <v>12</v>
      </c>
      <c r="C28" s="128" t="s">
        <v>529</v>
      </c>
      <c r="D28" s="129" t="str">
        <f t="shared" si="0"/>
        <v>cl-hs_ImpuestosCorrientesPasivosAseguradora</v>
      </c>
      <c r="E28" s="130" t="s">
        <v>708</v>
      </c>
      <c r="F28" s="128" t="s">
        <v>705</v>
      </c>
      <c r="G28" s="129" t="s">
        <v>711</v>
      </c>
      <c r="H28" s="128" t="s">
        <v>706</v>
      </c>
      <c r="I28" s="128" t="s">
        <v>710</v>
      </c>
      <c r="J28" s="128" t="s">
        <v>707</v>
      </c>
      <c r="K28" s="132"/>
      <c r="L28" s="133" t="s">
        <v>506</v>
      </c>
      <c r="M28" s="132"/>
      <c r="N28" s="132"/>
      <c r="O28" s="132"/>
    </row>
    <row r="29" spans="2:15">
      <c r="B29" s="127" t="s">
        <v>12</v>
      </c>
      <c r="C29" s="128" t="s">
        <v>530</v>
      </c>
      <c r="D29" s="129" t="str">
        <f t="shared" si="0"/>
        <v>cl-hs_ImpuestosDiferidosPasivosAseguradora</v>
      </c>
      <c r="E29" s="130" t="s">
        <v>708</v>
      </c>
      <c r="F29" s="128" t="s">
        <v>705</v>
      </c>
      <c r="G29" s="129" t="s">
        <v>711</v>
      </c>
      <c r="H29" s="128" t="s">
        <v>706</v>
      </c>
      <c r="I29" s="128" t="s">
        <v>710</v>
      </c>
      <c r="J29" s="128" t="s">
        <v>707</v>
      </c>
      <c r="K29" s="132"/>
      <c r="L29" s="133" t="s">
        <v>508</v>
      </c>
      <c r="M29" s="132"/>
      <c r="N29" s="132"/>
      <c r="O29" s="132"/>
    </row>
    <row r="30" spans="2:15">
      <c r="B30" s="127" t="s">
        <v>12</v>
      </c>
      <c r="C30" s="128" t="s">
        <v>532</v>
      </c>
      <c r="D30" s="129" t="str">
        <f t="shared" si="0"/>
        <v>cl-hs_ProvisionesAseguradora</v>
      </c>
      <c r="E30" s="130" t="s">
        <v>708</v>
      </c>
      <c r="F30" s="128" t="s">
        <v>705</v>
      </c>
      <c r="G30" s="129" t="s">
        <v>711</v>
      </c>
      <c r="H30" s="128" t="s">
        <v>706</v>
      </c>
      <c r="I30" s="128" t="s">
        <v>710</v>
      </c>
      <c r="J30" s="128" t="s">
        <v>707</v>
      </c>
      <c r="K30" s="132"/>
      <c r="L30" s="133" t="s">
        <v>531</v>
      </c>
      <c r="M30" s="132"/>
      <c r="N30" s="132"/>
      <c r="O30" s="132"/>
    </row>
    <row r="31" spans="2:15">
      <c r="B31" s="127" t="s">
        <v>12</v>
      </c>
      <c r="C31" s="128" t="s">
        <v>534</v>
      </c>
      <c r="D31" s="129" t="str">
        <f t="shared" si="0"/>
        <v>cl-hs_OtrosPasivosAseguradora</v>
      </c>
      <c r="E31" s="130" t="s">
        <v>708</v>
      </c>
      <c r="F31" s="128" t="s">
        <v>705</v>
      </c>
      <c r="G31" s="129" t="s">
        <v>711</v>
      </c>
      <c r="H31" s="128" t="s">
        <v>706</v>
      </c>
      <c r="I31" s="128" t="s">
        <v>710</v>
      </c>
      <c r="J31" s="128" t="s">
        <v>707</v>
      </c>
      <c r="K31" s="132"/>
      <c r="L31" s="133" t="s">
        <v>533</v>
      </c>
      <c r="M31" s="132"/>
      <c r="N31" s="132"/>
      <c r="O31" s="132"/>
    </row>
    <row r="32" spans="2:15">
      <c r="B32" s="127" t="s">
        <v>12</v>
      </c>
      <c r="C32" s="128" t="s">
        <v>536</v>
      </c>
      <c r="D32" s="129" t="str">
        <f t="shared" si="0"/>
        <v>cl-hs_TotalPasivosServiciosAseguradora</v>
      </c>
      <c r="E32" s="130" t="s">
        <v>708</v>
      </c>
      <c r="F32" s="128" t="s">
        <v>705</v>
      </c>
      <c r="G32" s="129" t="s">
        <v>711</v>
      </c>
      <c r="H32" s="128" t="s">
        <v>706</v>
      </c>
      <c r="I32" s="128" t="s">
        <v>710</v>
      </c>
      <c r="J32" s="128" t="s">
        <v>707</v>
      </c>
      <c r="K32" s="132"/>
      <c r="L32" s="133" t="s">
        <v>535</v>
      </c>
      <c r="M32" s="132"/>
      <c r="N32" s="132"/>
      <c r="O32" s="132"/>
    </row>
    <row r="33" spans="1:15">
      <c r="A33" s="2"/>
      <c r="B33" s="134" t="s">
        <v>12</v>
      </c>
      <c r="C33" s="134" t="s">
        <v>537</v>
      </c>
      <c r="D33" s="129" t="str">
        <f t="shared" si="0"/>
        <v>cl-hs_EstadoResultadosNegociosNoAseguradoraPresentacion</v>
      </c>
      <c r="E33" s="135" t="s">
        <v>704</v>
      </c>
      <c r="F33" s="135" t="s">
        <v>705</v>
      </c>
      <c r="G33" s="129"/>
      <c r="H33" s="135" t="s">
        <v>706</v>
      </c>
      <c r="I33" s="135" t="s">
        <v>707</v>
      </c>
      <c r="J33" s="135" t="s">
        <v>707</v>
      </c>
      <c r="K33" s="136"/>
      <c r="L33" s="137" t="s">
        <v>479</v>
      </c>
      <c r="M33" s="136"/>
      <c r="N33" s="136"/>
      <c r="O33" s="136"/>
    </row>
    <row r="34" spans="1:15">
      <c r="A34" s="2"/>
      <c r="B34" s="134" t="s">
        <v>12</v>
      </c>
      <c r="C34" s="134" t="s">
        <v>539</v>
      </c>
      <c r="D34" s="129" t="str">
        <f t="shared" si="0"/>
        <v>cl-hs_GananciaPerdidaNegociosNoAseguradora</v>
      </c>
      <c r="E34" s="135" t="s">
        <v>708</v>
      </c>
      <c r="F34" s="135" t="s">
        <v>705</v>
      </c>
      <c r="G34" s="129" t="s">
        <v>711</v>
      </c>
      <c r="H34" s="135" t="s">
        <v>712</v>
      </c>
      <c r="I34" s="135" t="s">
        <v>710</v>
      </c>
      <c r="J34" s="135" t="s">
        <v>707</v>
      </c>
      <c r="K34" s="136"/>
      <c r="L34" s="137" t="s">
        <v>538</v>
      </c>
      <c r="M34" s="136"/>
      <c r="N34" s="136"/>
      <c r="O34" s="136"/>
    </row>
    <row r="35" spans="1:15">
      <c r="A35" s="2"/>
      <c r="B35" s="134" t="s">
        <v>12</v>
      </c>
      <c r="C35" s="137" t="s">
        <v>541</v>
      </c>
      <c r="D35" s="129" t="str">
        <f t="shared" si="0"/>
        <v>cl-hs_EstadoResultadosServiciosAseguradoraPresentacion</v>
      </c>
      <c r="E35" s="135" t="s">
        <v>704</v>
      </c>
      <c r="F35" s="135" t="s">
        <v>705</v>
      </c>
      <c r="G35" s="129"/>
      <c r="H35" s="135" t="s">
        <v>706</v>
      </c>
      <c r="I35" s="135" t="s">
        <v>707</v>
      </c>
      <c r="J35" s="135" t="s">
        <v>707</v>
      </c>
      <c r="K35" s="136"/>
      <c r="L35" s="137" t="s">
        <v>540</v>
      </c>
      <c r="M35" s="136"/>
      <c r="N35" s="136"/>
      <c r="O35" s="136"/>
    </row>
    <row r="36" spans="1:15">
      <c r="A36" s="2"/>
      <c r="B36" s="134" t="s">
        <v>12</v>
      </c>
      <c r="C36" s="138" t="s">
        <v>543</v>
      </c>
      <c r="D36" s="129" t="str">
        <f t="shared" si="0"/>
        <v>cl-hs_IngresosPorInteresesYReajustes</v>
      </c>
      <c r="E36" s="135" t="s">
        <v>708</v>
      </c>
      <c r="F36" s="135" t="s">
        <v>705</v>
      </c>
      <c r="G36" s="129" t="s">
        <v>711</v>
      </c>
      <c r="H36" s="135" t="s">
        <v>712</v>
      </c>
      <c r="I36" s="135" t="s">
        <v>710</v>
      </c>
      <c r="J36" s="135" t="s">
        <v>707</v>
      </c>
      <c r="K36" s="136"/>
      <c r="L36" s="138" t="s">
        <v>542</v>
      </c>
      <c r="M36" s="136"/>
      <c r="N36" s="136"/>
      <c r="O36" s="136"/>
    </row>
    <row r="37" spans="1:15">
      <c r="A37" s="2"/>
      <c r="B37" s="134" t="s">
        <v>12</v>
      </c>
      <c r="C37" s="138" t="s">
        <v>545</v>
      </c>
      <c r="D37" s="129" t="str">
        <f t="shared" si="0"/>
        <v>cl-hs_GastosPorInteresesYReajustes</v>
      </c>
      <c r="E37" s="135" t="s">
        <v>708</v>
      </c>
      <c r="F37" s="135" t="s">
        <v>705</v>
      </c>
      <c r="G37" s="129" t="s">
        <v>709</v>
      </c>
      <c r="H37" s="135" t="s">
        <v>712</v>
      </c>
      <c r="I37" s="135" t="s">
        <v>710</v>
      </c>
      <c r="J37" s="135" t="s">
        <v>707</v>
      </c>
      <c r="K37" s="136"/>
      <c r="L37" s="138" t="s">
        <v>544</v>
      </c>
      <c r="M37" s="136"/>
      <c r="N37" s="136"/>
      <c r="O37" s="136"/>
    </row>
    <row r="38" spans="1:15">
      <c r="A38" s="2"/>
      <c r="B38" s="134" t="s">
        <v>12</v>
      </c>
      <c r="C38" s="134" t="s">
        <v>547</v>
      </c>
      <c r="D38" s="129" t="str">
        <f t="shared" si="0"/>
        <v>cl-hs_IngresosNetosPorInteresesYReajustesAseguradora</v>
      </c>
      <c r="E38" s="135" t="s">
        <v>708</v>
      </c>
      <c r="F38" s="135" t="s">
        <v>705</v>
      </c>
      <c r="G38" s="129" t="s">
        <v>711</v>
      </c>
      <c r="H38" s="135" t="s">
        <v>712</v>
      </c>
      <c r="I38" s="135" t="s">
        <v>710</v>
      </c>
      <c r="J38" s="135" t="s">
        <v>707</v>
      </c>
      <c r="K38" s="136"/>
      <c r="L38" s="138" t="s">
        <v>546</v>
      </c>
      <c r="M38" s="136"/>
      <c r="N38" s="136"/>
      <c r="O38" s="136"/>
    </row>
    <row r="39" spans="1:15">
      <c r="A39" s="2"/>
      <c r="B39" s="136" t="s">
        <v>12</v>
      </c>
      <c r="C39" s="138" t="s">
        <v>549</v>
      </c>
      <c r="D39" s="129" t="str">
        <f t="shared" si="0"/>
        <v>cl-hs_PrimaRetenidaNetaAseguradora</v>
      </c>
      <c r="E39" s="135" t="s">
        <v>708</v>
      </c>
      <c r="F39" s="135" t="s">
        <v>705</v>
      </c>
      <c r="G39" s="129" t="s">
        <v>711</v>
      </c>
      <c r="H39" s="135" t="s">
        <v>712</v>
      </c>
      <c r="I39" s="135" t="s">
        <v>710</v>
      </c>
      <c r="J39" s="135" t="s">
        <v>707</v>
      </c>
      <c r="K39" s="136"/>
      <c r="L39" s="138" t="s">
        <v>548</v>
      </c>
      <c r="M39" s="136"/>
      <c r="N39" s="136"/>
      <c r="O39" s="136"/>
    </row>
    <row r="40" spans="1:15">
      <c r="A40" s="2"/>
      <c r="B40" s="136" t="s">
        <v>12</v>
      </c>
      <c r="C40" s="138" t="s">
        <v>551</v>
      </c>
      <c r="D40" s="129" t="str">
        <f t="shared" si="0"/>
        <v>cl-hs_AjusteRRCCYMatVidaAseguradora</v>
      </c>
      <c r="E40" s="135" t="s">
        <v>708</v>
      </c>
      <c r="F40" s="135" t="s">
        <v>705</v>
      </c>
      <c r="G40" s="129" t="s">
        <v>711</v>
      </c>
      <c r="H40" s="135" t="s">
        <v>712</v>
      </c>
      <c r="I40" s="135" t="s">
        <v>710</v>
      </c>
      <c r="J40" s="135" t="s">
        <v>707</v>
      </c>
      <c r="K40" s="136"/>
      <c r="L40" s="138" t="s">
        <v>550</v>
      </c>
      <c r="M40" s="136"/>
      <c r="N40" s="136"/>
      <c r="O40" s="136"/>
    </row>
    <row r="41" spans="1:15">
      <c r="A41" s="2"/>
      <c r="B41" s="136" t="s">
        <v>12</v>
      </c>
      <c r="C41" s="138" t="s">
        <v>553</v>
      </c>
      <c r="D41" s="129" t="str">
        <f t="shared" si="0"/>
        <v>cl-hs_TotalIngresoExplotacionAseguradora</v>
      </c>
      <c r="E41" s="135" t="s">
        <v>708</v>
      </c>
      <c r="F41" s="135" t="s">
        <v>705</v>
      </c>
      <c r="G41" s="129" t="s">
        <v>711</v>
      </c>
      <c r="H41" s="135" t="s">
        <v>712</v>
      </c>
      <c r="I41" s="135" t="s">
        <v>710</v>
      </c>
      <c r="J41" s="135" t="s">
        <v>707</v>
      </c>
      <c r="K41" s="136"/>
      <c r="L41" s="138" t="s">
        <v>552</v>
      </c>
      <c r="M41" s="136"/>
      <c r="N41" s="136"/>
      <c r="O41" s="136"/>
    </row>
    <row r="42" spans="1:15">
      <c r="A42" s="2"/>
      <c r="B42" s="136" t="s">
        <v>12</v>
      </c>
      <c r="C42" s="138" t="s">
        <v>555</v>
      </c>
      <c r="D42" s="129" t="str">
        <f t="shared" si="0"/>
        <v>cl-hs_ProductoInversionesAseguradora</v>
      </c>
      <c r="E42" s="135" t="s">
        <v>708</v>
      </c>
      <c r="F42" s="135" t="s">
        <v>705</v>
      </c>
      <c r="G42" s="129" t="s">
        <v>711</v>
      </c>
      <c r="H42" s="135" t="s">
        <v>712</v>
      </c>
      <c r="I42" s="135" t="s">
        <v>710</v>
      </c>
      <c r="J42" s="135" t="s">
        <v>707</v>
      </c>
      <c r="K42" s="136"/>
      <c r="L42" s="138" t="s">
        <v>554</v>
      </c>
      <c r="M42" s="136"/>
      <c r="N42" s="136"/>
      <c r="O42" s="136"/>
    </row>
    <row r="43" spans="1:15">
      <c r="A43" s="2"/>
      <c r="B43" s="136" t="s">
        <v>12</v>
      </c>
      <c r="C43" s="138" t="s">
        <v>557</v>
      </c>
      <c r="D43" s="129" t="str">
        <f t="shared" si="0"/>
        <v>cl-hs_CostoSiniestrosAseguradora</v>
      </c>
      <c r="E43" s="135" t="s">
        <v>708</v>
      </c>
      <c r="F43" s="135" t="s">
        <v>705</v>
      </c>
      <c r="G43" s="129" t="s">
        <v>709</v>
      </c>
      <c r="H43" s="135" t="s">
        <v>712</v>
      </c>
      <c r="I43" s="135" t="s">
        <v>710</v>
      </c>
      <c r="J43" s="135" t="s">
        <v>707</v>
      </c>
      <c r="K43" s="136"/>
      <c r="L43" s="138" t="s">
        <v>556</v>
      </c>
      <c r="M43" s="136"/>
      <c r="N43" s="136"/>
      <c r="O43" s="136"/>
    </row>
    <row r="44" spans="1:15">
      <c r="A44" s="2"/>
      <c r="B44" s="136" t="s">
        <v>12</v>
      </c>
      <c r="C44" s="138" t="s">
        <v>559</v>
      </c>
      <c r="D44" s="129" t="str">
        <f t="shared" si="0"/>
        <v>cl-hs_CostoIntermediacionAseguradora</v>
      </c>
      <c r="E44" s="135" t="s">
        <v>708</v>
      </c>
      <c r="F44" s="135" t="s">
        <v>705</v>
      </c>
      <c r="G44" s="129" t="s">
        <v>709</v>
      </c>
      <c r="H44" s="135" t="s">
        <v>712</v>
      </c>
      <c r="I44" s="135" t="s">
        <v>710</v>
      </c>
      <c r="J44" s="135" t="s">
        <v>707</v>
      </c>
      <c r="K44" s="136"/>
      <c r="L44" s="138" t="s">
        <v>558</v>
      </c>
      <c r="M44" s="136"/>
      <c r="N44" s="136"/>
      <c r="O44" s="136"/>
    </row>
    <row r="45" spans="1:15">
      <c r="A45" s="2"/>
      <c r="B45" s="136" t="s">
        <v>12</v>
      </c>
      <c r="C45" s="138" t="s">
        <v>561</v>
      </c>
      <c r="D45" s="129" t="str">
        <f t="shared" si="0"/>
        <v>cl-hs_CostoAdministracionAseguradora</v>
      </c>
      <c r="E45" s="135" t="s">
        <v>708</v>
      </c>
      <c r="F45" s="135" t="s">
        <v>705</v>
      </c>
      <c r="G45" s="129" t="s">
        <v>709</v>
      </c>
      <c r="H45" s="135" t="s">
        <v>712</v>
      </c>
      <c r="I45" s="135" t="s">
        <v>710</v>
      </c>
      <c r="J45" s="135" t="s">
        <v>707</v>
      </c>
      <c r="K45" s="136"/>
      <c r="L45" s="138" t="s">
        <v>560</v>
      </c>
      <c r="M45" s="136"/>
      <c r="N45" s="136"/>
      <c r="O45" s="136"/>
    </row>
    <row r="46" spans="1:15">
      <c r="A46" s="2"/>
      <c r="B46" s="136" t="s">
        <v>12</v>
      </c>
      <c r="C46" s="138" t="s">
        <v>563</v>
      </c>
      <c r="D46" s="129" t="str">
        <f t="shared" si="0"/>
        <v>cl-hs_TotalCostoExplotacionAseguradora</v>
      </c>
      <c r="E46" s="135" t="s">
        <v>708</v>
      </c>
      <c r="F46" s="135" t="s">
        <v>705</v>
      </c>
      <c r="G46" s="129" t="s">
        <v>709</v>
      </c>
      <c r="H46" s="135" t="s">
        <v>712</v>
      </c>
      <c r="I46" s="135" t="s">
        <v>710</v>
      </c>
      <c r="J46" s="135" t="s">
        <v>707</v>
      </c>
      <c r="K46" s="136"/>
      <c r="L46" s="138" t="s">
        <v>562</v>
      </c>
      <c r="M46" s="136"/>
      <c r="N46" s="136"/>
      <c r="O46" s="136"/>
    </row>
    <row r="47" spans="1:15">
      <c r="A47" s="2"/>
      <c r="B47" s="134" t="s">
        <v>12</v>
      </c>
      <c r="C47" s="134" t="s">
        <v>565</v>
      </c>
      <c r="D47" s="129" t="str">
        <f t="shared" si="0"/>
        <v>cl-hs_RemuneracionesGastosPersonalAseguradora</v>
      </c>
      <c r="E47" s="135" t="s">
        <v>708</v>
      </c>
      <c r="F47" s="135" t="s">
        <v>705</v>
      </c>
      <c r="G47" s="129" t="s">
        <v>709</v>
      </c>
      <c r="H47" s="135" t="s">
        <v>712</v>
      </c>
      <c r="I47" s="135" t="s">
        <v>710</v>
      </c>
      <c r="J47" s="135" t="s">
        <v>707</v>
      </c>
      <c r="K47" s="136"/>
      <c r="L47" s="138" t="s">
        <v>564</v>
      </c>
      <c r="M47" s="136"/>
      <c r="N47" s="136"/>
      <c r="O47" s="136"/>
    </row>
    <row r="48" spans="1:15">
      <c r="A48" s="2"/>
      <c r="B48" s="134" t="s">
        <v>12</v>
      </c>
      <c r="C48" s="134" t="s">
        <v>567</v>
      </c>
      <c r="D48" s="129" t="str">
        <f t="shared" si="0"/>
        <v>cl-hs_GastosAdministracionAseguradora</v>
      </c>
      <c r="E48" s="135" t="s">
        <v>708</v>
      </c>
      <c r="F48" s="135" t="s">
        <v>705</v>
      </c>
      <c r="G48" s="129" t="s">
        <v>709</v>
      </c>
      <c r="H48" s="135" t="s">
        <v>712</v>
      </c>
      <c r="I48" s="135" t="s">
        <v>710</v>
      </c>
      <c r="J48" s="135" t="s">
        <v>707</v>
      </c>
      <c r="K48" s="136"/>
      <c r="L48" s="138" t="s">
        <v>566</v>
      </c>
      <c r="M48" s="136"/>
      <c r="N48" s="136"/>
      <c r="O48" s="136"/>
    </row>
    <row r="49" spans="1:15">
      <c r="A49" s="2"/>
      <c r="B49" s="136" t="s">
        <v>12</v>
      </c>
      <c r="C49" s="136" t="s">
        <v>569</v>
      </c>
      <c r="D49" s="129" t="str">
        <f t="shared" si="0"/>
        <v>cl-hs_DepreciacionesAmortizacionesAseguradora</v>
      </c>
      <c r="E49" s="135" t="s">
        <v>708</v>
      </c>
      <c r="F49" s="135" t="s">
        <v>705</v>
      </c>
      <c r="G49" s="129" t="s">
        <v>709</v>
      </c>
      <c r="H49" s="135" t="s">
        <v>712</v>
      </c>
      <c r="I49" s="135" t="s">
        <v>710</v>
      </c>
      <c r="J49" s="135" t="s">
        <v>707</v>
      </c>
      <c r="K49" s="136"/>
      <c r="L49" s="138" t="s">
        <v>568</v>
      </c>
      <c r="M49" s="136"/>
      <c r="N49" s="136"/>
      <c r="O49" s="136"/>
    </row>
    <row r="50" spans="1:15">
      <c r="A50" s="2"/>
      <c r="B50" s="134" t="s">
        <v>12</v>
      </c>
      <c r="C50" s="134" t="s">
        <v>571</v>
      </c>
      <c r="D50" s="129" t="str">
        <f t="shared" si="0"/>
        <v>cl-hs_DeteriorosAseguradora</v>
      </c>
      <c r="E50" s="135" t="s">
        <v>708</v>
      </c>
      <c r="F50" s="135" t="s">
        <v>705</v>
      </c>
      <c r="G50" s="129" t="s">
        <v>709</v>
      </c>
      <c r="H50" s="135" t="s">
        <v>712</v>
      </c>
      <c r="I50" s="135" t="s">
        <v>710</v>
      </c>
      <c r="J50" s="135" t="s">
        <v>707</v>
      </c>
      <c r="K50" s="136"/>
      <c r="L50" s="138" t="s">
        <v>570</v>
      </c>
      <c r="M50" s="136"/>
      <c r="N50" s="136"/>
      <c r="O50" s="136"/>
    </row>
    <row r="51" spans="1:15">
      <c r="A51" s="2"/>
      <c r="B51" s="134" t="s">
        <v>12</v>
      </c>
      <c r="C51" s="134" t="s">
        <v>573</v>
      </c>
      <c r="D51" s="129" t="str">
        <f t="shared" si="0"/>
        <v>cl-hs_OtrosGastosOperacionalesAseguradora</v>
      </c>
      <c r="E51" s="135" t="s">
        <v>708</v>
      </c>
      <c r="F51" s="135" t="s">
        <v>705</v>
      </c>
      <c r="G51" s="129" t="s">
        <v>709</v>
      </c>
      <c r="H51" s="135" t="s">
        <v>712</v>
      </c>
      <c r="I51" s="135" t="s">
        <v>710</v>
      </c>
      <c r="J51" s="135" t="s">
        <v>707</v>
      </c>
      <c r="K51" s="136"/>
      <c r="L51" s="138" t="s">
        <v>572</v>
      </c>
      <c r="M51" s="136"/>
      <c r="N51" s="136"/>
      <c r="O51" s="136"/>
    </row>
    <row r="52" spans="1:15">
      <c r="A52" s="2"/>
      <c r="B52" s="134" t="s">
        <v>12</v>
      </c>
      <c r="C52" s="134" t="s">
        <v>575</v>
      </c>
      <c r="D52" s="129" t="str">
        <f t="shared" si="0"/>
        <v>cl-hs_TotalGastosOperacionalesAseguradora</v>
      </c>
      <c r="E52" s="135" t="s">
        <v>708</v>
      </c>
      <c r="F52" s="135" t="s">
        <v>705</v>
      </c>
      <c r="G52" s="129" t="s">
        <v>709</v>
      </c>
      <c r="H52" s="135" t="s">
        <v>712</v>
      </c>
      <c r="I52" s="135" t="s">
        <v>710</v>
      </c>
      <c r="J52" s="135" t="s">
        <v>707</v>
      </c>
      <c r="K52" s="136"/>
      <c r="L52" s="138" t="s">
        <v>574</v>
      </c>
      <c r="M52" s="136"/>
      <c r="N52" s="136"/>
      <c r="O52" s="136"/>
    </row>
    <row r="53" spans="1:15">
      <c r="A53" s="2"/>
      <c r="B53" s="134" t="s">
        <v>12</v>
      </c>
      <c r="C53" s="134" t="s">
        <v>577</v>
      </c>
      <c r="D53" s="129" t="str">
        <f t="shared" si="0"/>
        <v>cl-hs_ResultadoOperacionalAseguradora</v>
      </c>
      <c r="E53" s="135" t="s">
        <v>708</v>
      </c>
      <c r="F53" s="135" t="s">
        <v>705</v>
      </c>
      <c r="G53" s="129" t="s">
        <v>711</v>
      </c>
      <c r="H53" s="135" t="s">
        <v>712</v>
      </c>
      <c r="I53" s="135" t="s">
        <v>710</v>
      </c>
      <c r="J53" s="135" t="s">
        <v>707</v>
      </c>
      <c r="K53" s="136"/>
      <c r="L53" s="138" t="s">
        <v>576</v>
      </c>
      <c r="M53" s="136"/>
      <c r="N53" s="136"/>
      <c r="O53" s="136"/>
    </row>
    <row r="54" spans="1:15">
      <c r="A54" s="2"/>
      <c r="B54" s="134" t="s">
        <v>12</v>
      </c>
      <c r="C54" s="134" t="s">
        <v>579</v>
      </c>
      <c r="D54" s="129" t="str">
        <f t="shared" si="0"/>
        <v>cl-hs_ResultadoInversionesSociedadesAseguradora</v>
      </c>
      <c r="E54" s="135" t="s">
        <v>708</v>
      </c>
      <c r="F54" s="135" t="s">
        <v>705</v>
      </c>
      <c r="G54" s="129" t="s">
        <v>711</v>
      </c>
      <c r="H54" s="135" t="s">
        <v>712</v>
      </c>
      <c r="I54" s="135" t="s">
        <v>710</v>
      </c>
      <c r="J54" s="135" t="s">
        <v>707</v>
      </c>
      <c r="K54" s="136"/>
      <c r="L54" s="138" t="s">
        <v>578</v>
      </c>
      <c r="M54" s="136"/>
      <c r="N54" s="136"/>
      <c r="O54" s="136"/>
    </row>
    <row r="55" spans="1:15">
      <c r="A55" s="2"/>
      <c r="B55" s="134" t="s">
        <v>12</v>
      </c>
      <c r="C55" s="134" t="s">
        <v>581</v>
      </c>
      <c r="D55" s="129" t="str">
        <f t="shared" si="0"/>
        <v>cl-hs_CorreccionMonetariaAseguradora</v>
      </c>
      <c r="E55" s="135" t="s">
        <v>708</v>
      </c>
      <c r="F55" s="135" t="s">
        <v>705</v>
      </c>
      <c r="G55" s="135" t="s">
        <v>711</v>
      </c>
      <c r="H55" s="135" t="s">
        <v>712</v>
      </c>
      <c r="I55" s="135" t="s">
        <v>710</v>
      </c>
      <c r="J55" s="135" t="s">
        <v>707</v>
      </c>
      <c r="K55" s="136"/>
      <c r="L55" s="138" t="s">
        <v>580</v>
      </c>
      <c r="M55" s="136"/>
      <c r="N55" s="136"/>
      <c r="O55" s="136"/>
    </row>
    <row r="56" spans="1:15">
      <c r="A56" s="2"/>
      <c r="B56" s="134" t="s">
        <v>12</v>
      </c>
      <c r="C56" s="134" t="s">
        <v>583</v>
      </c>
      <c r="D56" s="129" t="str">
        <f t="shared" si="0"/>
        <v>cl-hs_ResultadoAntesImpuestoARentaAseguradora</v>
      </c>
      <c r="E56" s="135" t="s">
        <v>708</v>
      </c>
      <c r="F56" s="135" t="s">
        <v>705</v>
      </c>
      <c r="G56" s="135" t="s">
        <v>711</v>
      </c>
      <c r="H56" s="135" t="s">
        <v>712</v>
      </c>
      <c r="I56" s="135" t="s">
        <v>710</v>
      </c>
      <c r="J56" s="135" t="s">
        <v>707</v>
      </c>
      <c r="K56" s="136"/>
      <c r="L56" s="138" t="s">
        <v>582</v>
      </c>
      <c r="M56" s="136"/>
      <c r="N56" s="136"/>
      <c r="O56" s="136"/>
    </row>
    <row r="57" spans="1:15">
      <c r="A57" s="2"/>
      <c r="B57" s="134" t="s">
        <v>12</v>
      </c>
      <c r="C57" s="134" t="s">
        <v>585</v>
      </c>
      <c r="D57" s="129" t="str">
        <f t="shared" si="0"/>
        <v>cl-hs_ImpuestoARentaAseguradora</v>
      </c>
      <c r="E57" s="135" t="s">
        <v>708</v>
      </c>
      <c r="F57" s="135" t="s">
        <v>705</v>
      </c>
      <c r="G57" s="135" t="s">
        <v>709</v>
      </c>
      <c r="H57" s="135" t="s">
        <v>712</v>
      </c>
      <c r="I57" s="135" t="s">
        <v>710</v>
      </c>
      <c r="J57" s="135" t="s">
        <v>707</v>
      </c>
      <c r="K57" s="136"/>
      <c r="L57" s="138" t="s">
        <v>584</v>
      </c>
      <c r="M57" s="136"/>
      <c r="N57" s="136"/>
      <c r="O57" s="136"/>
    </row>
    <row r="58" spans="1:15">
      <c r="A58" s="2"/>
      <c r="B58" s="134" t="s">
        <v>12</v>
      </c>
      <c r="C58" s="134" t="s">
        <v>587</v>
      </c>
      <c r="D58" s="129" t="str">
        <f t="shared" si="0"/>
        <v>cl-hs_ResultadoOperacionesContinuasAseguradora</v>
      </c>
      <c r="E58" s="135" t="s">
        <v>708</v>
      </c>
      <c r="F58" s="135" t="s">
        <v>705</v>
      </c>
      <c r="G58" s="135" t="s">
        <v>711</v>
      </c>
      <c r="H58" s="135" t="s">
        <v>712</v>
      </c>
      <c r="I58" s="135" t="s">
        <v>710</v>
      </c>
      <c r="J58" s="135" t="s">
        <v>707</v>
      </c>
      <c r="K58" s="136"/>
      <c r="L58" s="138" t="s">
        <v>586</v>
      </c>
      <c r="M58" s="136"/>
      <c r="N58" s="136"/>
      <c r="O58" s="136"/>
    </row>
    <row r="59" spans="1:15">
      <c r="A59" s="2"/>
      <c r="B59" s="134" t="s">
        <v>12</v>
      </c>
      <c r="C59" s="134" t="s">
        <v>589</v>
      </c>
      <c r="D59" s="129" t="str">
        <f t="shared" si="0"/>
        <v>cl-hs_GananciaPerdidaOperacionesDiscontinuadasNetaDeImpuestoAseguradora</v>
      </c>
      <c r="E59" s="135" t="s">
        <v>708</v>
      </c>
      <c r="F59" s="135" t="s">
        <v>705</v>
      </c>
      <c r="G59" s="135" t="s">
        <v>711</v>
      </c>
      <c r="H59" s="135" t="s">
        <v>712</v>
      </c>
      <c r="I59" s="135" t="s">
        <v>710</v>
      </c>
      <c r="J59" s="135" t="s">
        <v>707</v>
      </c>
      <c r="K59" s="136"/>
      <c r="L59" s="138" t="s">
        <v>588</v>
      </c>
      <c r="M59" s="136"/>
      <c r="N59" s="136"/>
      <c r="O59" s="136"/>
    </row>
    <row r="60" spans="1:15">
      <c r="A60" s="2"/>
      <c r="B60" s="134" t="s">
        <v>12</v>
      </c>
      <c r="C60" s="134" t="s">
        <v>591</v>
      </c>
      <c r="D60" s="129" t="str">
        <f t="shared" si="0"/>
        <v>cl-hs_GananciaPerdidaServiciosAseguradora</v>
      </c>
      <c r="E60" s="135" t="s">
        <v>708</v>
      </c>
      <c r="F60" s="135" t="s">
        <v>705</v>
      </c>
      <c r="G60" s="129" t="s">
        <v>711</v>
      </c>
      <c r="H60" s="135" t="s">
        <v>712</v>
      </c>
      <c r="I60" s="135" t="s">
        <v>710</v>
      </c>
      <c r="J60" s="135" t="s">
        <v>707</v>
      </c>
      <c r="K60" s="136"/>
      <c r="L60" s="138" t="s">
        <v>590</v>
      </c>
      <c r="M60" s="136"/>
      <c r="N60" s="136"/>
      <c r="O60" s="136"/>
    </row>
    <row r="61" spans="1:15">
      <c r="A61" s="139"/>
      <c r="B61" s="136" t="s">
        <v>12</v>
      </c>
      <c r="C61" s="138" t="s">
        <v>592</v>
      </c>
      <c r="D61" s="129" t="str">
        <f t="shared" si="0"/>
        <v>cl-hs_EstadoFlujosEfectivoActividadesOperacionNegociosNoAseguradoraPresentacion</v>
      </c>
      <c r="E61" s="140" t="s">
        <v>704</v>
      </c>
      <c r="F61" s="140" t="s">
        <v>705</v>
      </c>
      <c r="G61" s="129"/>
      <c r="H61" s="140" t="s">
        <v>706</v>
      </c>
      <c r="I61" s="140" t="s">
        <v>707</v>
      </c>
      <c r="J61" s="140" t="s">
        <v>707</v>
      </c>
      <c r="K61" s="140"/>
      <c r="L61" s="138" t="s">
        <v>713</v>
      </c>
      <c r="M61" s="136"/>
      <c r="N61" s="141"/>
      <c r="O61" s="141"/>
    </row>
    <row r="62" spans="1:15">
      <c r="A62" s="139"/>
      <c r="B62" s="136" t="s">
        <v>12</v>
      </c>
      <c r="C62" s="138" t="s">
        <v>594</v>
      </c>
      <c r="D62" s="129" t="str">
        <f t="shared" si="0"/>
        <v>cl-hs_FlujosEfectivoNetosUtilizadosEnActividadesOperacionServiciosNoAseguradora</v>
      </c>
      <c r="E62" s="140" t="s">
        <v>708</v>
      </c>
      <c r="F62" s="140" t="s">
        <v>705</v>
      </c>
      <c r="G62" s="129" t="s">
        <v>709</v>
      </c>
      <c r="H62" s="140" t="s">
        <v>712</v>
      </c>
      <c r="I62" s="140" t="s">
        <v>710</v>
      </c>
      <c r="J62" s="140" t="s">
        <v>707</v>
      </c>
      <c r="K62" s="140"/>
      <c r="L62" s="138" t="s">
        <v>593</v>
      </c>
      <c r="M62" s="136"/>
      <c r="N62" s="141"/>
      <c r="O62" s="141"/>
    </row>
    <row r="63" spans="1:15">
      <c r="A63" s="139"/>
      <c r="B63" s="136" t="s">
        <v>12</v>
      </c>
      <c r="C63" s="138" t="s">
        <v>595</v>
      </c>
      <c r="D63" s="129" t="str">
        <f t="shared" si="0"/>
        <v>cl-hs_ServiciosAseguradorasOperacionesPresentacion</v>
      </c>
      <c r="E63" s="140" t="s">
        <v>704</v>
      </c>
      <c r="F63" s="140" t="s">
        <v>705</v>
      </c>
      <c r="G63" s="129"/>
      <c r="H63" s="140" t="s">
        <v>706</v>
      </c>
      <c r="I63" s="140" t="s">
        <v>707</v>
      </c>
      <c r="J63" s="140" t="s">
        <v>707</v>
      </c>
      <c r="K63" s="140"/>
      <c r="L63" s="138" t="s">
        <v>540</v>
      </c>
      <c r="M63" s="136"/>
      <c r="N63" s="141"/>
      <c r="O63" s="141"/>
    </row>
    <row r="64" spans="1:15">
      <c r="A64" s="26"/>
      <c r="B64" s="136" t="s">
        <v>12</v>
      </c>
      <c r="C64" s="138" t="s">
        <v>597</v>
      </c>
      <c r="D64" s="129" t="str">
        <f t="shared" si="0"/>
        <v>cl-hs_IngresosPrimasSegurosYCoaseguroAseguradorasOperaciones</v>
      </c>
      <c r="E64" s="140" t="s">
        <v>708</v>
      </c>
      <c r="F64" s="140" t="s">
        <v>705</v>
      </c>
      <c r="G64" s="129" t="s">
        <v>709</v>
      </c>
      <c r="H64" s="140" t="s">
        <v>712</v>
      </c>
      <c r="I64" s="140" t="s">
        <v>710</v>
      </c>
      <c r="J64" s="140" t="s">
        <v>707</v>
      </c>
      <c r="K64" s="142"/>
      <c r="L64" s="138" t="s">
        <v>596</v>
      </c>
      <c r="M64" s="141"/>
      <c r="N64" s="141"/>
      <c r="O64" s="141"/>
    </row>
    <row r="65" spans="1:15">
      <c r="A65" s="26"/>
      <c r="B65" s="136" t="s">
        <v>12</v>
      </c>
      <c r="C65" s="138" t="s">
        <v>599</v>
      </c>
      <c r="D65" s="129" t="str">
        <f t="shared" si="0"/>
        <v>cl-hs_IngresosSiniestrosReaseguradosAseguradorasOperaciones</v>
      </c>
      <c r="E65" s="140" t="s">
        <v>708</v>
      </c>
      <c r="F65" s="140" t="s">
        <v>705</v>
      </c>
      <c r="G65" s="129" t="s">
        <v>709</v>
      </c>
      <c r="H65" s="140" t="s">
        <v>712</v>
      </c>
      <c r="I65" s="140" t="s">
        <v>710</v>
      </c>
      <c r="J65" s="140" t="s">
        <v>707</v>
      </c>
      <c r="K65" s="142"/>
      <c r="L65" s="138" t="s">
        <v>598</v>
      </c>
      <c r="M65" s="141"/>
      <c r="N65" s="141"/>
      <c r="O65" s="141"/>
    </row>
    <row r="66" spans="1:15">
      <c r="A66" s="26"/>
      <c r="B66" s="136" t="s">
        <v>12</v>
      </c>
      <c r="C66" s="138" t="s">
        <v>601</v>
      </c>
      <c r="D66" s="129" t="str">
        <f t="shared" ref="D66:D115" si="1">CONCATENATE(B66,"_",C66)</f>
        <v>cl-hs_IngresosComisionesReaseguroCedidoAseguradorasOperaciones</v>
      </c>
      <c r="E66" s="140" t="s">
        <v>708</v>
      </c>
      <c r="F66" s="140" t="s">
        <v>705</v>
      </c>
      <c r="G66" s="129" t="s">
        <v>709</v>
      </c>
      <c r="H66" s="140" t="s">
        <v>712</v>
      </c>
      <c r="I66" s="140" t="s">
        <v>710</v>
      </c>
      <c r="J66" s="140" t="s">
        <v>707</v>
      </c>
      <c r="K66" s="142"/>
      <c r="L66" s="138" t="s">
        <v>600</v>
      </c>
      <c r="M66" s="141"/>
      <c r="N66" s="141"/>
      <c r="O66" s="141"/>
    </row>
    <row r="67" spans="1:15">
      <c r="A67" s="26"/>
      <c r="B67" s="136" t="s">
        <v>12</v>
      </c>
      <c r="C67" s="138" t="s">
        <v>603</v>
      </c>
      <c r="D67" s="129" t="str">
        <f t="shared" si="1"/>
        <v>cl-hs_IngresosActivosFinancierosValorRazonableAseguradorasOperaciones</v>
      </c>
      <c r="E67" s="140" t="s">
        <v>708</v>
      </c>
      <c r="F67" s="140" t="s">
        <v>705</v>
      </c>
      <c r="G67" s="129" t="s">
        <v>709</v>
      </c>
      <c r="H67" s="140" t="s">
        <v>712</v>
      </c>
      <c r="I67" s="140" t="s">
        <v>710</v>
      </c>
      <c r="J67" s="140" t="s">
        <v>707</v>
      </c>
      <c r="K67" s="142"/>
      <c r="L67" s="138" t="s">
        <v>602</v>
      </c>
      <c r="M67" s="141"/>
      <c r="N67" s="141"/>
      <c r="O67" s="141"/>
    </row>
    <row r="68" spans="1:15">
      <c r="A68" s="26"/>
      <c r="B68" s="136" t="s">
        <v>12</v>
      </c>
      <c r="C68" s="138" t="s">
        <v>605</v>
      </c>
      <c r="D68" s="129" t="str">
        <f t="shared" si="1"/>
        <v>cl-hs_IngresosActivosFinancierosCostoAmortizadoAseguradorasOperaciones</v>
      </c>
      <c r="E68" s="140" t="s">
        <v>708</v>
      </c>
      <c r="F68" s="140" t="s">
        <v>705</v>
      </c>
      <c r="G68" s="129" t="s">
        <v>709</v>
      </c>
      <c r="H68" s="140" t="s">
        <v>712</v>
      </c>
      <c r="I68" s="140" t="s">
        <v>710</v>
      </c>
      <c r="J68" s="140" t="s">
        <v>707</v>
      </c>
      <c r="K68" s="142"/>
      <c r="L68" s="138" t="s">
        <v>604</v>
      </c>
      <c r="M68" s="141"/>
      <c r="N68" s="141"/>
      <c r="O68" s="141"/>
    </row>
    <row r="69" spans="1:15">
      <c r="A69" s="26"/>
      <c r="B69" s="136" t="s">
        <v>12</v>
      </c>
      <c r="C69" s="138" t="s">
        <v>606</v>
      </c>
      <c r="D69" s="129" t="str">
        <f t="shared" si="1"/>
        <v>cl-hs_InteresesRecibidosAseguradorasOperaciones</v>
      </c>
      <c r="E69" s="140" t="s">
        <v>708</v>
      </c>
      <c r="F69" s="140" t="s">
        <v>705</v>
      </c>
      <c r="G69" s="129" t="s">
        <v>709</v>
      </c>
      <c r="H69" s="140" t="s">
        <v>712</v>
      </c>
      <c r="I69" s="140" t="s">
        <v>710</v>
      </c>
      <c r="J69" s="140" t="s">
        <v>707</v>
      </c>
      <c r="K69" s="142"/>
      <c r="L69" s="138" t="s">
        <v>374</v>
      </c>
      <c r="M69" s="141"/>
      <c r="N69" s="141"/>
      <c r="O69" s="141"/>
    </row>
    <row r="70" spans="1:15">
      <c r="A70" s="26"/>
      <c r="B70" s="136" t="s">
        <v>12</v>
      </c>
      <c r="C70" s="138" t="s">
        <v>608</v>
      </c>
      <c r="D70" s="129" t="str">
        <f t="shared" si="1"/>
        <v>cl-hs_OtrosIngresosActividadAseguradoraOperaciones</v>
      </c>
      <c r="E70" s="140" t="s">
        <v>708</v>
      </c>
      <c r="F70" s="140" t="s">
        <v>705</v>
      </c>
      <c r="G70" s="129" t="s">
        <v>709</v>
      </c>
      <c r="H70" s="140" t="s">
        <v>712</v>
      </c>
      <c r="I70" s="140" t="s">
        <v>710</v>
      </c>
      <c r="J70" s="140" t="s">
        <v>707</v>
      </c>
      <c r="K70" s="142"/>
      <c r="L70" s="138" t="s">
        <v>607</v>
      </c>
      <c r="M70" s="141"/>
      <c r="N70" s="141"/>
      <c r="O70" s="141"/>
    </row>
    <row r="71" spans="1:15">
      <c r="A71" s="26"/>
      <c r="B71" s="136" t="s">
        <v>12</v>
      </c>
      <c r="C71" s="138" t="s">
        <v>610</v>
      </c>
      <c r="D71" s="129" t="str">
        <f t="shared" si="1"/>
        <v>cl-hs_PrestamosYPartidasPorCobrarAseguradorasOperaciones</v>
      </c>
      <c r="E71" s="140" t="s">
        <v>708</v>
      </c>
      <c r="F71" s="140" t="s">
        <v>705</v>
      </c>
      <c r="G71" s="129" t="s">
        <v>709</v>
      </c>
      <c r="H71" s="140" t="s">
        <v>712</v>
      </c>
      <c r="I71" s="140" t="s">
        <v>710</v>
      </c>
      <c r="J71" s="140" t="s">
        <v>707</v>
      </c>
      <c r="K71" s="142"/>
      <c r="L71" s="138" t="s">
        <v>609</v>
      </c>
      <c r="M71" s="141"/>
      <c r="N71" s="141"/>
      <c r="O71" s="141"/>
    </row>
    <row r="72" spans="1:15">
      <c r="A72" s="26"/>
      <c r="B72" s="136" t="s">
        <v>12</v>
      </c>
      <c r="C72" s="138" t="s">
        <v>612</v>
      </c>
      <c r="D72" s="129" t="str">
        <f t="shared" si="1"/>
        <v>cl-hs_IngresosImpuestosAseguradorasOperaciones</v>
      </c>
      <c r="E72" s="140" t="s">
        <v>708</v>
      </c>
      <c r="F72" s="140" t="s">
        <v>705</v>
      </c>
      <c r="G72" s="129" t="s">
        <v>709</v>
      </c>
      <c r="H72" s="140" t="s">
        <v>712</v>
      </c>
      <c r="I72" s="140" t="s">
        <v>710</v>
      </c>
      <c r="J72" s="140" t="s">
        <v>707</v>
      </c>
      <c r="K72" s="142"/>
      <c r="L72" s="138" t="s">
        <v>611</v>
      </c>
      <c r="M72" s="141"/>
      <c r="N72" s="141"/>
      <c r="O72" s="141"/>
    </row>
    <row r="73" spans="1:15">
      <c r="A73" s="26"/>
      <c r="B73" s="136" t="s">
        <v>12</v>
      </c>
      <c r="C73" s="138" t="s">
        <v>614</v>
      </c>
      <c r="D73" s="129" t="str">
        <f t="shared" si="1"/>
        <v>cl-hs_EgresosPrestacionesSeguroDirectoAseguradorasOperaciones</v>
      </c>
      <c r="E73" s="140" t="s">
        <v>708</v>
      </c>
      <c r="F73" s="140" t="s">
        <v>705</v>
      </c>
      <c r="G73" s="129" t="s">
        <v>711</v>
      </c>
      <c r="H73" s="140" t="s">
        <v>712</v>
      </c>
      <c r="I73" s="140" t="s">
        <v>710</v>
      </c>
      <c r="J73" s="140" t="s">
        <v>707</v>
      </c>
      <c r="K73" s="142"/>
      <c r="L73" s="138" t="s">
        <v>613</v>
      </c>
      <c r="M73" s="141"/>
      <c r="N73" s="141"/>
      <c r="O73" s="141"/>
    </row>
    <row r="74" spans="1:15">
      <c r="A74" s="26"/>
      <c r="B74" s="136" t="s">
        <v>12</v>
      </c>
      <c r="C74" s="138" t="s">
        <v>616</v>
      </c>
      <c r="D74" s="129" t="str">
        <f t="shared" si="1"/>
        <v>cl-hs_PagoRentasSiniestrosAseguradorasOperaciones</v>
      </c>
      <c r="E74" s="140" t="s">
        <v>708</v>
      </c>
      <c r="F74" s="140" t="s">
        <v>705</v>
      </c>
      <c r="G74" s="129" t="s">
        <v>711</v>
      </c>
      <c r="H74" s="140" t="s">
        <v>712</v>
      </c>
      <c r="I74" s="140" t="s">
        <v>710</v>
      </c>
      <c r="J74" s="140" t="s">
        <v>707</v>
      </c>
      <c r="K74" s="142"/>
      <c r="L74" s="138" t="s">
        <v>615</v>
      </c>
      <c r="M74" s="141"/>
      <c r="N74" s="141"/>
      <c r="O74" s="141"/>
    </row>
    <row r="75" spans="1:15">
      <c r="A75" s="26"/>
      <c r="B75" s="136" t="s">
        <v>12</v>
      </c>
      <c r="C75" s="138" t="s">
        <v>618</v>
      </c>
      <c r="D75" s="129" t="str">
        <f t="shared" si="1"/>
        <v>cl-hs_EgresoIntermediacionSegurosDirectosAseguradorasOperaciones</v>
      </c>
      <c r="E75" s="140" t="s">
        <v>708</v>
      </c>
      <c r="F75" s="140" t="s">
        <v>705</v>
      </c>
      <c r="G75" s="129" t="s">
        <v>711</v>
      </c>
      <c r="H75" s="140" t="s">
        <v>712</v>
      </c>
      <c r="I75" s="140" t="s">
        <v>710</v>
      </c>
      <c r="J75" s="140" t="s">
        <v>707</v>
      </c>
      <c r="K75" s="142"/>
      <c r="L75" s="138" t="s">
        <v>617</v>
      </c>
      <c r="M75" s="141"/>
      <c r="N75" s="141"/>
      <c r="O75" s="141"/>
    </row>
    <row r="76" spans="1:15">
      <c r="A76" s="26"/>
      <c r="B76" s="136" t="s">
        <v>12</v>
      </c>
      <c r="C76" s="138" t="s">
        <v>620</v>
      </c>
      <c r="D76" s="129" t="str">
        <f t="shared" si="1"/>
        <v>cl-hs_EgresoComisionesReasegurosAseguradorasOperaciones</v>
      </c>
      <c r="E76" s="140" t="s">
        <v>708</v>
      </c>
      <c r="F76" s="140" t="s">
        <v>705</v>
      </c>
      <c r="G76" s="129" t="s">
        <v>711</v>
      </c>
      <c r="H76" s="140" t="s">
        <v>712</v>
      </c>
      <c r="I76" s="140" t="s">
        <v>710</v>
      </c>
      <c r="J76" s="140" t="s">
        <v>707</v>
      </c>
      <c r="K76" s="142"/>
      <c r="L76" s="138" t="s">
        <v>619</v>
      </c>
      <c r="M76" s="143"/>
      <c r="N76" s="141"/>
      <c r="O76" s="141"/>
    </row>
    <row r="77" spans="1:15">
      <c r="A77" s="26"/>
      <c r="B77" s="136" t="s">
        <v>12</v>
      </c>
      <c r="C77" s="138" t="s">
        <v>622</v>
      </c>
      <c r="D77" s="129" t="str">
        <f t="shared" si="1"/>
        <v>cl-hs_EgresosActivosFinancierosValorRazonableAseguradorasOperaciones</v>
      </c>
      <c r="E77" s="140" t="s">
        <v>708</v>
      </c>
      <c r="F77" s="140" t="s">
        <v>705</v>
      </c>
      <c r="G77" s="129" t="s">
        <v>711</v>
      </c>
      <c r="H77" s="140" t="s">
        <v>712</v>
      </c>
      <c r="I77" s="140" t="s">
        <v>710</v>
      </c>
      <c r="J77" s="140" t="s">
        <v>707</v>
      </c>
      <c r="K77" s="142"/>
      <c r="L77" s="138" t="s">
        <v>621</v>
      </c>
      <c r="M77" s="143"/>
      <c r="N77" s="141"/>
      <c r="O77" s="141"/>
    </row>
    <row r="78" spans="1:15">
      <c r="A78" s="26"/>
      <c r="B78" s="136" t="s">
        <v>12</v>
      </c>
      <c r="C78" s="138" t="s">
        <v>624</v>
      </c>
      <c r="D78" s="129" t="str">
        <f t="shared" si="1"/>
        <v>cl-hs_EgresosActivosFinancierosCostoAmortizadoAseguradorasOperaciones</v>
      </c>
      <c r="E78" s="140" t="s">
        <v>708</v>
      </c>
      <c r="F78" s="140" t="s">
        <v>705</v>
      </c>
      <c r="G78" s="129" t="s">
        <v>711</v>
      </c>
      <c r="H78" s="140" t="s">
        <v>712</v>
      </c>
      <c r="I78" s="140" t="s">
        <v>710</v>
      </c>
      <c r="J78" s="140" t="s">
        <v>707</v>
      </c>
      <c r="K78" s="142"/>
      <c r="L78" s="138" t="s">
        <v>623</v>
      </c>
      <c r="M78" s="143"/>
      <c r="N78" s="141"/>
      <c r="O78" s="141"/>
    </row>
    <row r="79" spans="1:15">
      <c r="A79" s="26"/>
      <c r="B79" s="136" t="s">
        <v>12</v>
      </c>
      <c r="C79" s="138" t="s">
        <v>626</v>
      </c>
      <c r="D79" s="129" t="str">
        <f t="shared" si="1"/>
        <v>cl-hs_DividendoPagadosAseguradorasOperaciones</v>
      </c>
      <c r="E79" s="140" t="s">
        <v>708</v>
      </c>
      <c r="F79" s="140" t="s">
        <v>705</v>
      </c>
      <c r="G79" s="129" t="s">
        <v>711</v>
      </c>
      <c r="H79" s="140" t="s">
        <v>712</v>
      </c>
      <c r="I79" s="140" t="s">
        <v>710</v>
      </c>
      <c r="J79" s="140" t="s">
        <v>707</v>
      </c>
      <c r="K79" s="142"/>
      <c r="L79" s="138" t="s">
        <v>625</v>
      </c>
      <c r="M79" s="143"/>
      <c r="N79" s="141"/>
      <c r="O79" s="141"/>
    </row>
    <row r="80" spans="1:15">
      <c r="A80" s="26"/>
      <c r="B80" s="136" t="s">
        <v>12</v>
      </c>
      <c r="C80" s="138" t="s">
        <v>628</v>
      </c>
      <c r="D80" s="129" t="str">
        <f t="shared" si="1"/>
        <v>cl-hs_OtrosEgresosActividadAseguradoraOperaciones</v>
      </c>
      <c r="E80" s="140" t="s">
        <v>708</v>
      </c>
      <c r="F80" s="140" t="s">
        <v>705</v>
      </c>
      <c r="G80" s="129" t="s">
        <v>711</v>
      </c>
      <c r="H80" s="140" t="s">
        <v>712</v>
      </c>
      <c r="I80" s="140" t="s">
        <v>710</v>
      </c>
      <c r="J80" s="140" t="s">
        <v>707</v>
      </c>
      <c r="K80" s="142"/>
      <c r="L80" s="138" t="s">
        <v>627</v>
      </c>
      <c r="M80" s="143"/>
      <c r="N80" s="141"/>
      <c r="O80" s="141"/>
    </row>
    <row r="81" spans="1:15">
      <c r="A81" s="26"/>
      <c r="B81" s="136" t="s">
        <v>12</v>
      </c>
      <c r="C81" s="138" t="s">
        <v>630</v>
      </c>
      <c r="D81" s="129" t="str">
        <f t="shared" si="1"/>
        <v>cl-hs_EgresosOtrasActividadesAseguradorasOperaciones</v>
      </c>
      <c r="E81" s="140" t="s">
        <v>708</v>
      </c>
      <c r="F81" s="140" t="s">
        <v>705</v>
      </c>
      <c r="G81" s="129" t="s">
        <v>711</v>
      </c>
      <c r="H81" s="140" t="s">
        <v>712</v>
      </c>
      <c r="I81" s="140" t="s">
        <v>710</v>
      </c>
      <c r="J81" s="140" t="s">
        <v>707</v>
      </c>
      <c r="K81" s="142"/>
      <c r="L81" s="138" t="s">
        <v>629</v>
      </c>
      <c r="M81" s="143"/>
      <c r="N81" s="141"/>
      <c r="O81" s="141"/>
    </row>
    <row r="82" spans="1:15">
      <c r="A82" s="26"/>
      <c r="B82" s="136" t="s">
        <v>12</v>
      </c>
      <c r="C82" s="138" t="s">
        <v>632</v>
      </c>
      <c r="D82" s="129" t="str">
        <f t="shared" si="1"/>
        <v>cl-hs_EgresosImpuestosAseguradorasOperaciones</v>
      </c>
      <c r="E82" s="140" t="s">
        <v>708</v>
      </c>
      <c r="F82" s="140" t="s">
        <v>705</v>
      </c>
      <c r="G82" s="129" t="s">
        <v>711</v>
      </c>
      <c r="H82" s="140" t="s">
        <v>712</v>
      </c>
      <c r="I82" s="140" t="s">
        <v>710</v>
      </c>
      <c r="J82" s="140" t="s">
        <v>707</v>
      </c>
      <c r="K82" s="142"/>
      <c r="L82" s="138" t="s">
        <v>631</v>
      </c>
      <c r="M82" s="143"/>
      <c r="N82" s="141"/>
      <c r="O82" s="141"/>
    </row>
    <row r="83" spans="1:15">
      <c r="A83" s="26"/>
      <c r="B83" s="136" t="s">
        <v>12</v>
      </c>
      <c r="C83" s="138" t="s">
        <v>634</v>
      </c>
      <c r="D83" s="129" t="str">
        <f t="shared" si="1"/>
        <v>cl-hs_OtrosActividadesOperacionServiciosAseguradora</v>
      </c>
      <c r="E83" s="140" t="s">
        <v>708</v>
      </c>
      <c r="F83" s="140" t="s">
        <v>705</v>
      </c>
      <c r="G83" s="129" t="s">
        <v>709</v>
      </c>
      <c r="H83" s="140" t="s">
        <v>712</v>
      </c>
      <c r="I83" s="140" t="s">
        <v>710</v>
      </c>
      <c r="J83" s="140" t="s">
        <v>707</v>
      </c>
      <c r="K83" s="142"/>
      <c r="L83" s="138" t="s">
        <v>633</v>
      </c>
      <c r="M83" s="143"/>
      <c r="N83" s="141"/>
      <c r="O83" s="141"/>
    </row>
    <row r="84" spans="1:15">
      <c r="A84" s="26"/>
      <c r="B84" s="136" t="s">
        <v>12</v>
      </c>
      <c r="C84" s="138" t="s">
        <v>636</v>
      </c>
      <c r="D84" s="129" t="str">
        <f t="shared" si="1"/>
        <v>cl-hs_SubtotalFlujosEfectivoNetosProcedentesUtilizadosActividadesOperacionServiciosAseguradora</v>
      </c>
      <c r="E84" s="140" t="s">
        <v>708</v>
      </c>
      <c r="F84" s="140" t="s">
        <v>705</v>
      </c>
      <c r="G84" s="129" t="s">
        <v>709</v>
      </c>
      <c r="H84" s="140" t="s">
        <v>712</v>
      </c>
      <c r="I84" s="140" t="s">
        <v>710</v>
      </c>
      <c r="J84" s="140" t="s">
        <v>707</v>
      </c>
      <c r="K84" s="142"/>
      <c r="L84" s="138" t="s">
        <v>635</v>
      </c>
      <c r="M84" s="143"/>
      <c r="N84" s="141"/>
      <c r="O84" s="141"/>
    </row>
    <row r="85" spans="1:15">
      <c r="A85" s="26"/>
      <c r="B85" s="136" t="s">
        <v>12</v>
      </c>
      <c r="C85" s="138" t="s">
        <v>637</v>
      </c>
      <c r="D85" s="129" t="str">
        <f t="shared" si="1"/>
        <v>cl-hs_EstadoFlujosEfectivoActividadesInversionNegociosNoAseguradoraPresentacion</v>
      </c>
      <c r="E85" s="140" t="s">
        <v>704</v>
      </c>
      <c r="F85" s="140" t="s">
        <v>705</v>
      </c>
      <c r="G85" s="129"/>
      <c r="H85" s="140" t="s">
        <v>706</v>
      </c>
      <c r="I85" s="140" t="s">
        <v>707</v>
      </c>
      <c r="J85" s="140" t="s">
        <v>707</v>
      </c>
      <c r="K85" s="142"/>
      <c r="L85" s="138" t="s">
        <v>713</v>
      </c>
      <c r="M85" s="143"/>
      <c r="N85" s="141"/>
      <c r="O85" s="141"/>
    </row>
    <row r="86" spans="1:15">
      <c r="A86" s="139"/>
      <c r="B86" s="136" t="s">
        <v>12</v>
      </c>
      <c r="C86" s="138" t="s">
        <v>639</v>
      </c>
      <c r="D86" s="129" t="str">
        <f t="shared" si="1"/>
        <v>cl-hs_SubtotalFlujosEfectivoNetosProcedentesUtilizadosActividadesInversionNegociosNoAseguradora</v>
      </c>
      <c r="E86" s="140" t="s">
        <v>708</v>
      </c>
      <c r="F86" s="140" t="s">
        <v>705</v>
      </c>
      <c r="G86" s="129" t="s">
        <v>709</v>
      </c>
      <c r="H86" s="140" t="s">
        <v>712</v>
      </c>
      <c r="I86" s="140" t="s">
        <v>710</v>
      </c>
      <c r="J86" s="140" t="s">
        <v>707</v>
      </c>
      <c r="K86" s="140"/>
      <c r="L86" s="138" t="s">
        <v>638</v>
      </c>
      <c r="M86" s="143"/>
      <c r="N86" s="141"/>
      <c r="O86" s="141"/>
    </row>
    <row r="87" spans="1:15">
      <c r="A87" s="139"/>
      <c r="B87" s="136" t="s">
        <v>12</v>
      </c>
      <c r="C87" s="138" t="s">
        <v>640</v>
      </c>
      <c r="D87" s="129" t="str">
        <f t="shared" si="1"/>
        <v>cl-hs_ServiciosAseguradoraInversionAseguradoraInversionPresentacion</v>
      </c>
      <c r="E87" s="140" t="s">
        <v>704</v>
      </c>
      <c r="F87" s="140" t="s">
        <v>705</v>
      </c>
      <c r="G87" s="129"/>
      <c r="H87" s="140" t="s">
        <v>706</v>
      </c>
      <c r="I87" s="140" t="s">
        <v>707</v>
      </c>
      <c r="J87" s="140" t="s">
        <v>707</v>
      </c>
      <c r="K87" s="140"/>
      <c r="L87" s="138" t="s">
        <v>540</v>
      </c>
      <c r="M87" s="143"/>
      <c r="N87" s="141"/>
      <c r="O87" s="141"/>
    </row>
    <row r="88" spans="1:15">
      <c r="A88" s="139"/>
      <c r="B88" s="136" t="s">
        <v>12</v>
      </c>
      <c r="C88" s="138" t="s">
        <v>642</v>
      </c>
      <c r="D88" s="129" t="str">
        <f t="shared" si="1"/>
        <v>cl-hs_AumentoDisminucionNetaInstrumentosInversionesFinancieras</v>
      </c>
      <c r="E88" s="140" t="s">
        <v>708</v>
      </c>
      <c r="F88" s="140" t="s">
        <v>705</v>
      </c>
      <c r="G88" s="129" t="s">
        <v>709</v>
      </c>
      <c r="H88" s="140" t="s">
        <v>712</v>
      </c>
      <c r="I88" s="140" t="s">
        <v>710</v>
      </c>
      <c r="J88" s="140" t="s">
        <v>707</v>
      </c>
      <c r="K88" s="140"/>
      <c r="L88" s="138" t="s">
        <v>641</v>
      </c>
      <c r="M88" s="143"/>
      <c r="N88" s="141"/>
      <c r="O88" s="141"/>
    </row>
    <row r="89" spans="1:15">
      <c r="A89" s="139"/>
      <c r="B89" s="136" t="s">
        <v>12</v>
      </c>
      <c r="C89" s="138" t="s">
        <v>644</v>
      </c>
      <c r="D89" s="129" t="str">
        <f t="shared" si="1"/>
        <v>cl-hs_IngresosPropiedadesInversionAseguradoraInversion</v>
      </c>
      <c r="E89" s="140" t="s">
        <v>708</v>
      </c>
      <c r="F89" s="140" t="s">
        <v>705</v>
      </c>
      <c r="G89" s="129" t="s">
        <v>709</v>
      </c>
      <c r="H89" s="140" t="s">
        <v>712</v>
      </c>
      <c r="I89" s="140" t="s">
        <v>710</v>
      </c>
      <c r="J89" s="140" t="s">
        <v>707</v>
      </c>
      <c r="K89" s="140"/>
      <c r="L89" s="138" t="s">
        <v>643</v>
      </c>
      <c r="M89" s="143"/>
      <c r="N89" s="141"/>
      <c r="O89" s="141"/>
    </row>
    <row r="90" spans="1:15">
      <c r="A90" s="139"/>
      <c r="B90" s="136" t="s">
        <v>12</v>
      </c>
      <c r="C90" s="138" t="s">
        <v>646</v>
      </c>
      <c r="D90" s="129" t="str">
        <f t="shared" si="1"/>
        <v>cl-hs_IngresosPlantasEquiposAseguradoraInversion</v>
      </c>
      <c r="E90" s="140" t="s">
        <v>708</v>
      </c>
      <c r="F90" s="140" t="s">
        <v>705</v>
      </c>
      <c r="G90" s="129" t="s">
        <v>709</v>
      </c>
      <c r="H90" s="140" t="s">
        <v>712</v>
      </c>
      <c r="I90" s="140" t="s">
        <v>710</v>
      </c>
      <c r="J90" s="140" t="s">
        <v>707</v>
      </c>
      <c r="K90" s="140"/>
      <c r="L90" s="138" t="s">
        <v>645</v>
      </c>
      <c r="M90" s="143"/>
      <c r="N90" s="141"/>
      <c r="O90" s="141"/>
    </row>
    <row r="91" spans="1:15">
      <c r="A91" s="139"/>
      <c r="B91" s="136" t="s">
        <v>12</v>
      </c>
      <c r="C91" s="138" t="s">
        <v>648</v>
      </c>
      <c r="D91" s="129" t="str">
        <f t="shared" si="1"/>
        <v>cl-hs_IngresosActivosIntangiblesAseguradoraInversion</v>
      </c>
      <c r="E91" s="140" t="s">
        <v>708</v>
      </c>
      <c r="F91" s="140" t="s">
        <v>705</v>
      </c>
      <c r="G91" s="129" t="s">
        <v>709</v>
      </c>
      <c r="H91" s="140" t="s">
        <v>712</v>
      </c>
      <c r="I91" s="140" t="s">
        <v>710</v>
      </c>
      <c r="J91" s="140" t="s">
        <v>707</v>
      </c>
      <c r="K91" s="140"/>
      <c r="L91" s="138" t="s">
        <v>647</v>
      </c>
      <c r="M91" s="143"/>
      <c r="N91" s="141"/>
      <c r="O91" s="141"/>
    </row>
    <row r="92" spans="1:15">
      <c r="A92" s="139"/>
      <c r="B92" s="136" t="s">
        <v>12</v>
      </c>
      <c r="C92" s="138" t="s">
        <v>650</v>
      </c>
      <c r="D92" s="129" t="str">
        <f t="shared" si="1"/>
        <v>cl-hs_IngresosInstrumentosFinancierosNoOperacionalesAseguradoraInversion</v>
      </c>
      <c r="E92" s="140" t="s">
        <v>708</v>
      </c>
      <c r="F92" s="140" t="s">
        <v>705</v>
      </c>
      <c r="G92" s="129" t="s">
        <v>709</v>
      </c>
      <c r="H92" s="140" t="s">
        <v>712</v>
      </c>
      <c r="I92" s="140" t="s">
        <v>710</v>
      </c>
      <c r="J92" s="140" t="s">
        <v>707</v>
      </c>
      <c r="K92" s="140"/>
      <c r="L92" s="138" t="s">
        <v>649</v>
      </c>
      <c r="M92" s="143"/>
      <c r="N92" s="141"/>
      <c r="O92" s="141"/>
    </row>
    <row r="93" spans="1:15">
      <c r="A93" s="139"/>
      <c r="B93" s="136" t="s">
        <v>12</v>
      </c>
      <c r="C93" s="138" t="s">
        <v>652</v>
      </c>
      <c r="D93" s="129" t="str">
        <f t="shared" si="1"/>
        <v>cl-hs_IngresosParticipacionEntidadesGrupoYFilialesAseguradoraInversion</v>
      </c>
      <c r="E93" s="140" t="s">
        <v>708</v>
      </c>
      <c r="F93" s="140" t="s">
        <v>705</v>
      </c>
      <c r="G93" s="129" t="s">
        <v>709</v>
      </c>
      <c r="H93" s="140" t="s">
        <v>712</v>
      </c>
      <c r="I93" s="140" t="s">
        <v>710</v>
      </c>
      <c r="J93" s="140" t="s">
        <v>707</v>
      </c>
      <c r="K93" s="140"/>
      <c r="L93" s="138" t="s">
        <v>651</v>
      </c>
      <c r="M93" s="143"/>
      <c r="N93" s="141"/>
      <c r="O93" s="141"/>
    </row>
    <row r="94" spans="1:15">
      <c r="A94" s="139"/>
      <c r="B94" s="136" t="s">
        <v>12</v>
      </c>
      <c r="C94" s="138" t="s">
        <v>654</v>
      </c>
      <c r="D94" s="129" t="str">
        <f t="shared" si="1"/>
        <v>cl-hs_OtrosIngresosRelacionadosConActividadesInversionAseguradoraInversion</v>
      </c>
      <c r="E94" s="140" t="s">
        <v>708</v>
      </c>
      <c r="F94" s="140" t="s">
        <v>705</v>
      </c>
      <c r="G94" s="129" t="s">
        <v>709</v>
      </c>
      <c r="H94" s="140" t="s">
        <v>712</v>
      </c>
      <c r="I94" s="140" t="s">
        <v>710</v>
      </c>
      <c r="J94" s="140" t="s">
        <v>707</v>
      </c>
      <c r="K94" s="140"/>
      <c r="L94" s="138" t="s">
        <v>653</v>
      </c>
      <c r="M94" s="143"/>
      <c r="N94" s="141"/>
      <c r="O94" s="141"/>
    </row>
    <row r="95" spans="1:15">
      <c r="A95" s="139"/>
      <c r="B95" s="136" t="s">
        <v>12</v>
      </c>
      <c r="C95" s="138" t="s">
        <v>656</v>
      </c>
      <c r="D95" s="129" t="str">
        <f t="shared" si="1"/>
        <v>cl-hs_EgresosPropiedadesInversionAseguradoraInversion</v>
      </c>
      <c r="E95" s="140" t="s">
        <v>708</v>
      </c>
      <c r="F95" s="140" t="s">
        <v>705</v>
      </c>
      <c r="G95" s="129" t="s">
        <v>711</v>
      </c>
      <c r="H95" s="140" t="s">
        <v>712</v>
      </c>
      <c r="I95" s="140" t="s">
        <v>710</v>
      </c>
      <c r="J95" s="140" t="s">
        <v>707</v>
      </c>
      <c r="K95" s="140"/>
      <c r="L95" s="138" t="s">
        <v>655</v>
      </c>
      <c r="M95" s="143"/>
      <c r="N95" s="141"/>
      <c r="O95" s="141"/>
    </row>
    <row r="96" spans="1:15">
      <c r="A96" s="139"/>
      <c r="B96" s="136" t="s">
        <v>12</v>
      </c>
      <c r="C96" s="138" t="s">
        <v>658</v>
      </c>
      <c r="D96" s="129" t="str">
        <f t="shared" si="1"/>
        <v>cl-hs_EgresosPlantasYEquiposAseguradoraInversion</v>
      </c>
      <c r="E96" s="140" t="s">
        <v>708</v>
      </c>
      <c r="F96" s="140" t="s">
        <v>705</v>
      </c>
      <c r="G96" s="129" t="s">
        <v>711</v>
      </c>
      <c r="H96" s="140" t="s">
        <v>712</v>
      </c>
      <c r="I96" s="140" t="s">
        <v>710</v>
      </c>
      <c r="J96" s="140" t="s">
        <v>707</v>
      </c>
      <c r="K96" s="140"/>
      <c r="L96" s="138" t="s">
        <v>657</v>
      </c>
      <c r="M96" s="143"/>
      <c r="N96" s="141"/>
      <c r="O96" s="141"/>
    </row>
    <row r="97" spans="1:15">
      <c r="A97" s="139"/>
      <c r="B97" s="136" t="s">
        <v>12</v>
      </c>
      <c r="C97" s="138" t="s">
        <v>660</v>
      </c>
      <c r="D97" s="129" t="str">
        <f t="shared" si="1"/>
        <v>cl-hs_EgresosActivosIntangiblesAseguradoraInversion</v>
      </c>
      <c r="E97" s="140" t="s">
        <v>708</v>
      </c>
      <c r="F97" s="140" t="s">
        <v>705</v>
      </c>
      <c r="G97" s="129" t="s">
        <v>711</v>
      </c>
      <c r="H97" s="140" t="s">
        <v>712</v>
      </c>
      <c r="I97" s="140" t="s">
        <v>710</v>
      </c>
      <c r="J97" s="140" t="s">
        <v>707</v>
      </c>
      <c r="K97" s="140"/>
      <c r="L97" s="138" t="s">
        <v>659</v>
      </c>
      <c r="M97" s="143"/>
      <c r="N97" s="141"/>
      <c r="O97" s="141"/>
    </row>
    <row r="98" spans="1:15">
      <c r="A98" s="139"/>
      <c r="B98" s="136" t="s">
        <v>12</v>
      </c>
      <c r="C98" s="138" t="s">
        <v>662</v>
      </c>
      <c r="D98" s="129" t="str">
        <f t="shared" si="1"/>
        <v>cl-hs_EgresosInstrumentosFinancierosNoOperacionalesAseguradoraInversion</v>
      </c>
      <c r="E98" s="140" t="s">
        <v>708</v>
      </c>
      <c r="F98" s="140" t="s">
        <v>705</v>
      </c>
      <c r="G98" s="129" t="s">
        <v>711</v>
      </c>
      <c r="H98" s="140" t="s">
        <v>712</v>
      </c>
      <c r="I98" s="140" t="s">
        <v>710</v>
      </c>
      <c r="J98" s="140" t="s">
        <v>707</v>
      </c>
      <c r="K98" s="140"/>
      <c r="L98" s="138" t="s">
        <v>661</v>
      </c>
      <c r="M98" s="143"/>
      <c r="N98" s="141"/>
      <c r="O98" s="141"/>
    </row>
    <row r="99" spans="1:15">
      <c r="A99" s="139"/>
      <c r="B99" s="136" t="s">
        <v>12</v>
      </c>
      <c r="C99" s="138" t="s">
        <v>664</v>
      </c>
      <c r="D99" s="129" t="str">
        <f t="shared" si="1"/>
        <v>cl-hs_EgresosParticipacionEntidadesGrupoYFilialesAseguradoraInversion</v>
      </c>
      <c r="E99" s="140" t="s">
        <v>708</v>
      </c>
      <c r="F99" s="140" t="s">
        <v>705</v>
      </c>
      <c r="G99" s="129" t="s">
        <v>711</v>
      </c>
      <c r="H99" s="140" t="s">
        <v>712</v>
      </c>
      <c r="I99" s="140" t="s">
        <v>710</v>
      </c>
      <c r="J99" s="140" t="s">
        <v>707</v>
      </c>
      <c r="K99" s="140"/>
      <c r="L99" s="138" t="s">
        <v>663</v>
      </c>
      <c r="M99" s="143"/>
      <c r="N99" s="141"/>
      <c r="O99" s="141"/>
    </row>
    <row r="100" spans="1:15">
      <c r="A100" s="139"/>
      <c r="B100" s="136" t="s">
        <v>12</v>
      </c>
      <c r="C100" s="138" t="s">
        <v>666</v>
      </c>
      <c r="D100" s="129" t="str">
        <f t="shared" si="1"/>
        <v>cl-hs_OtrosEgresosRelacionadosActividadesInversionAseguradora</v>
      </c>
      <c r="E100" s="140" t="s">
        <v>708</v>
      </c>
      <c r="F100" s="140" t="s">
        <v>705</v>
      </c>
      <c r="G100" s="129" t="s">
        <v>711</v>
      </c>
      <c r="H100" s="140" t="s">
        <v>712</v>
      </c>
      <c r="I100" s="140" t="s">
        <v>710</v>
      </c>
      <c r="J100" s="140" t="s">
        <v>707</v>
      </c>
      <c r="K100" s="140"/>
      <c r="L100" s="138" t="s">
        <v>665</v>
      </c>
      <c r="M100" s="143"/>
      <c r="N100" s="141"/>
      <c r="O100" s="141"/>
    </row>
    <row r="101" spans="1:15">
      <c r="A101" s="139"/>
      <c r="B101" s="136" t="s">
        <v>12</v>
      </c>
      <c r="C101" s="138" t="s">
        <v>773</v>
      </c>
      <c r="D101" s="129" t="str">
        <f t="shared" si="1"/>
        <v>cl-hs_OtrosActividadesInversionServiciosAseguradora</v>
      </c>
      <c r="E101" s="140" t="s">
        <v>708</v>
      </c>
      <c r="F101" s="140" t="s">
        <v>705</v>
      </c>
      <c r="G101" s="129" t="s">
        <v>709</v>
      </c>
      <c r="H101" s="140" t="s">
        <v>712</v>
      </c>
      <c r="I101" s="140" t="s">
        <v>710</v>
      </c>
      <c r="J101" s="140" t="s">
        <v>707</v>
      </c>
      <c r="K101" s="140"/>
      <c r="L101" s="138" t="s">
        <v>633</v>
      </c>
      <c r="M101" s="141"/>
      <c r="N101" s="141"/>
      <c r="O101" s="141"/>
    </row>
    <row r="102" spans="1:15">
      <c r="A102" s="139"/>
      <c r="B102" s="136" t="s">
        <v>12</v>
      </c>
      <c r="C102" s="138" t="s">
        <v>668</v>
      </c>
      <c r="D102" s="129" t="str">
        <f t="shared" si="1"/>
        <v>cl-hs_SubtotalFlujosEfectivoNetosProcedentesUtilizadosActividadesInversionServiciosAseguradora</v>
      </c>
      <c r="E102" s="140" t="s">
        <v>708</v>
      </c>
      <c r="F102" s="140" t="s">
        <v>705</v>
      </c>
      <c r="G102" s="129" t="s">
        <v>709</v>
      </c>
      <c r="H102" s="140" t="s">
        <v>712</v>
      </c>
      <c r="I102" s="140" t="s">
        <v>710</v>
      </c>
      <c r="J102" s="140" t="s">
        <v>707</v>
      </c>
      <c r="K102" s="140"/>
      <c r="L102" s="138" t="s">
        <v>667</v>
      </c>
      <c r="M102" s="141"/>
      <c r="N102" s="141"/>
      <c r="O102" s="141"/>
    </row>
    <row r="103" spans="1:15">
      <c r="A103" s="139"/>
      <c r="B103" s="136" t="s">
        <v>12</v>
      </c>
      <c r="C103" s="138" t="s">
        <v>669</v>
      </c>
      <c r="D103" s="129" t="str">
        <f t="shared" si="1"/>
        <v>cl-hs_EstadoFlujosEfectivoActividadesFinanciacionNegociosNoAseguradaPresentacion</v>
      </c>
      <c r="E103" s="140" t="s">
        <v>704</v>
      </c>
      <c r="F103" s="140" t="s">
        <v>705</v>
      </c>
      <c r="G103" s="129"/>
      <c r="H103" s="140" t="s">
        <v>706</v>
      </c>
      <c r="I103" s="140" t="s">
        <v>707</v>
      </c>
      <c r="J103" s="140" t="s">
        <v>707</v>
      </c>
      <c r="K103" s="140"/>
      <c r="L103" s="138" t="s">
        <v>479</v>
      </c>
      <c r="M103" s="141"/>
      <c r="N103" s="141"/>
      <c r="O103" s="141"/>
    </row>
    <row r="104" spans="1:15">
      <c r="A104" s="139"/>
      <c r="B104" s="136" t="s">
        <v>12</v>
      </c>
      <c r="C104" s="138" t="s">
        <v>671</v>
      </c>
      <c r="D104" s="129" t="str">
        <f t="shared" si="1"/>
        <v>cl-hs_SubtotalFlujosEfectivoNetosProcedentesUtilizadosActividadesFinanciacionNegociosNoAseguradora</v>
      </c>
      <c r="E104" s="140" t="s">
        <v>708</v>
      </c>
      <c r="F104" s="140" t="s">
        <v>705</v>
      </c>
      <c r="G104" s="129" t="s">
        <v>709</v>
      </c>
      <c r="H104" s="140" t="s">
        <v>712</v>
      </c>
      <c r="I104" s="140" t="s">
        <v>710</v>
      </c>
      <c r="J104" s="140" t="s">
        <v>707</v>
      </c>
      <c r="K104" s="140"/>
      <c r="L104" s="138" t="s">
        <v>670</v>
      </c>
      <c r="M104" s="141"/>
      <c r="N104" s="141"/>
      <c r="O104" s="140"/>
    </row>
    <row r="105" spans="1:15">
      <c r="A105" s="139"/>
      <c r="B105" s="136" t="s">
        <v>12</v>
      </c>
      <c r="C105" s="138" t="s">
        <v>672</v>
      </c>
      <c r="D105" s="129" t="str">
        <f t="shared" si="1"/>
        <v>cl-hs_ServiciosAseguradoraFinanciacionPresentacion</v>
      </c>
      <c r="E105" s="140" t="s">
        <v>704</v>
      </c>
      <c r="F105" s="140" t="s">
        <v>705</v>
      </c>
      <c r="G105" s="129"/>
      <c r="H105" s="140" t="s">
        <v>706</v>
      </c>
      <c r="I105" s="140" t="s">
        <v>707</v>
      </c>
      <c r="J105" s="140" t="s">
        <v>707</v>
      </c>
      <c r="K105" s="140"/>
      <c r="L105" s="138" t="s">
        <v>540</v>
      </c>
      <c r="M105" s="141"/>
      <c r="N105" s="141"/>
      <c r="O105" s="140"/>
    </row>
    <row r="106" spans="1:15">
      <c r="A106" s="139"/>
      <c r="B106" s="136" t="s">
        <v>12</v>
      </c>
      <c r="C106" s="138" t="s">
        <v>674</v>
      </c>
      <c r="D106" s="129" t="str">
        <f t="shared" si="1"/>
        <v>cl-hs_EmisionInstrumentosPatrimonioAseguradoraFinanciacion</v>
      </c>
      <c r="E106" s="140" t="s">
        <v>708</v>
      </c>
      <c r="F106" s="140" t="s">
        <v>705</v>
      </c>
      <c r="G106" s="129" t="s">
        <v>709</v>
      </c>
      <c r="H106" s="140" t="s">
        <v>712</v>
      </c>
      <c r="I106" s="140" t="s">
        <v>710</v>
      </c>
      <c r="J106" s="140" t="s">
        <v>707</v>
      </c>
      <c r="K106" s="140"/>
      <c r="L106" s="138" t="s">
        <v>673</v>
      </c>
      <c r="M106" s="141"/>
      <c r="N106" s="141"/>
      <c r="O106" s="140"/>
    </row>
    <row r="107" spans="1:15">
      <c r="A107" s="139"/>
      <c r="B107" s="136" t="s">
        <v>12</v>
      </c>
      <c r="C107" s="138" t="s">
        <v>676</v>
      </c>
      <c r="D107" s="129" t="str">
        <f t="shared" si="1"/>
        <v>cl-hs_PrestamosBancariosORelacionadosAseguradoraFinanciacion</v>
      </c>
      <c r="E107" s="140" t="s">
        <v>708</v>
      </c>
      <c r="F107" s="140" t="s">
        <v>705</v>
      </c>
      <c r="G107" s="129" t="s">
        <v>709</v>
      </c>
      <c r="H107" s="140" t="s">
        <v>712</v>
      </c>
      <c r="I107" s="140" t="s">
        <v>710</v>
      </c>
      <c r="J107" s="140" t="s">
        <v>707</v>
      </c>
      <c r="K107" s="140"/>
      <c r="L107" s="138" t="s">
        <v>675</v>
      </c>
      <c r="M107" s="141"/>
      <c r="N107" s="141"/>
      <c r="O107" s="140"/>
    </row>
    <row r="108" spans="1:15">
      <c r="A108" s="139"/>
      <c r="B108" s="136" t="s">
        <v>12</v>
      </c>
      <c r="C108" s="138" t="s">
        <v>678</v>
      </c>
      <c r="D108" s="129" t="str">
        <f t="shared" si="1"/>
        <v>cl-hs_AumentosCapitalAseguradoraFinanciacion</v>
      </c>
      <c r="E108" s="140" t="s">
        <v>708</v>
      </c>
      <c r="F108" s="140" t="s">
        <v>705</v>
      </c>
      <c r="G108" s="129" t="s">
        <v>709</v>
      </c>
      <c r="H108" s="140" t="s">
        <v>712</v>
      </c>
      <c r="I108" s="140" t="s">
        <v>710</v>
      </c>
      <c r="J108" s="140" t="s">
        <v>707</v>
      </c>
      <c r="K108" s="140"/>
      <c r="L108" s="138" t="s">
        <v>677</v>
      </c>
      <c r="M108" s="141"/>
      <c r="N108" s="141"/>
      <c r="O108" s="140"/>
    </row>
    <row r="109" spans="1:15">
      <c r="A109" s="139"/>
      <c r="B109" s="136" t="s">
        <v>12</v>
      </c>
      <c r="C109" s="138" t="s">
        <v>680</v>
      </c>
      <c r="D109" s="129" t="str">
        <f t="shared" si="1"/>
        <v>cl-hs_OtrosIngresosRelacionadosActividadesFinanciamientoAseguradora</v>
      </c>
      <c r="E109" s="140" t="s">
        <v>708</v>
      </c>
      <c r="F109" s="140" t="s">
        <v>705</v>
      </c>
      <c r="G109" s="129" t="s">
        <v>709</v>
      </c>
      <c r="H109" s="140" t="s">
        <v>712</v>
      </c>
      <c r="I109" s="140" t="s">
        <v>710</v>
      </c>
      <c r="J109" s="140" t="s">
        <v>707</v>
      </c>
      <c r="K109" s="140"/>
      <c r="L109" s="138" t="s">
        <v>679</v>
      </c>
      <c r="M109" s="141"/>
      <c r="N109" s="141"/>
      <c r="O109" s="140"/>
    </row>
    <row r="110" spans="1:15">
      <c r="A110" s="139"/>
      <c r="B110" s="136" t="s">
        <v>12</v>
      </c>
      <c r="C110" s="138" t="s">
        <v>682</v>
      </c>
      <c r="D110" s="129" t="str">
        <f t="shared" si="1"/>
        <v>cl-hs_DividendosAccionistasAseguradoraFinanciacion</v>
      </c>
      <c r="E110" s="140" t="s">
        <v>708</v>
      </c>
      <c r="F110" s="140" t="s">
        <v>705</v>
      </c>
      <c r="G110" s="129" t="s">
        <v>711</v>
      </c>
      <c r="H110" s="140" t="s">
        <v>712</v>
      </c>
      <c r="I110" s="140" t="s">
        <v>710</v>
      </c>
      <c r="J110" s="140" t="s">
        <v>707</v>
      </c>
      <c r="K110" s="140"/>
      <c r="L110" s="138" t="s">
        <v>681</v>
      </c>
      <c r="M110" s="141"/>
      <c r="N110" s="141"/>
      <c r="O110" s="140"/>
    </row>
    <row r="111" spans="1:15">
      <c r="A111" s="139"/>
      <c r="B111" s="136" t="s">
        <v>12</v>
      </c>
      <c r="C111" s="138" t="s">
        <v>683</v>
      </c>
      <c r="D111" s="129" t="str">
        <f t="shared" si="1"/>
        <v>cl-hs_InteresesPagadosAseguradoraFinanciacion</v>
      </c>
      <c r="E111" s="140" t="s">
        <v>708</v>
      </c>
      <c r="F111" s="140" t="s">
        <v>705</v>
      </c>
      <c r="G111" s="129" t="s">
        <v>711</v>
      </c>
      <c r="H111" s="140" t="s">
        <v>712</v>
      </c>
      <c r="I111" s="140" t="s">
        <v>710</v>
      </c>
      <c r="J111" s="140" t="s">
        <v>707</v>
      </c>
      <c r="K111" s="140"/>
      <c r="L111" s="138" t="s">
        <v>372</v>
      </c>
      <c r="M111" s="141"/>
      <c r="N111" s="141"/>
      <c r="O111" s="140"/>
    </row>
    <row r="112" spans="1:15">
      <c r="A112" s="139"/>
      <c r="B112" s="136" t="s">
        <v>12</v>
      </c>
      <c r="C112" s="138" t="s">
        <v>685</v>
      </c>
      <c r="D112" s="129" t="str">
        <f t="shared" si="1"/>
        <v>cl-hs_DisminucionCapitalAseguradoraFinanciacion</v>
      </c>
      <c r="E112" s="140" t="s">
        <v>708</v>
      </c>
      <c r="F112" s="140" t="s">
        <v>705</v>
      </c>
      <c r="G112" s="129" t="s">
        <v>711</v>
      </c>
      <c r="H112" s="140" t="s">
        <v>712</v>
      </c>
      <c r="I112" s="140" t="s">
        <v>710</v>
      </c>
      <c r="J112" s="140" t="s">
        <v>707</v>
      </c>
      <c r="K112" s="140"/>
      <c r="L112" s="138" t="s">
        <v>684</v>
      </c>
      <c r="M112" s="141"/>
      <c r="N112" s="140"/>
      <c r="O112" s="140"/>
    </row>
    <row r="113" spans="1:15">
      <c r="A113" s="139"/>
      <c r="B113" s="136" t="s">
        <v>12</v>
      </c>
      <c r="C113" s="138" t="s">
        <v>687</v>
      </c>
      <c r="D113" s="129" t="str">
        <f t="shared" si="1"/>
        <v>cl-hs_OtrosEgresosRelacionadosActividadesFinanciamientoAseguradoraFinanciacion</v>
      </c>
      <c r="E113" s="140" t="s">
        <v>708</v>
      </c>
      <c r="F113" s="140" t="s">
        <v>705</v>
      </c>
      <c r="G113" s="129" t="s">
        <v>711</v>
      </c>
      <c r="H113" s="140" t="s">
        <v>712</v>
      </c>
      <c r="I113" s="140" t="s">
        <v>710</v>
      </c>
      <c r="J113" s="140" t="s">
        <v>707</v>
      </c>
      <c r="K113" s="140"/>
      <c r="L113" s="138" t="s">
        <v>686</v>
      </c>
      <c r="M113" s="141"/>
      <c r="N113" s="140"/>
      <c r="O113" s="140"/>
    </row>
    <row r="114" spans="1:15">
      <c r="A114" s="139"/>
      <c r="B114" s="136" t="s">
        <v>12</v>
      </c>
      <c r="C114" s="138" t="s">
        <v>688</v>
      </c>
      <c r="D114" s="129" t="str">
        <f t="shared" si="1"/>
        <v>cl-hs_OtrosFinanciacionServiciosAseguradora</v>
      </c>
      <c r="E114" s="140" t="s">
        <v>708</v>
      </c>
      <c r="F114" s="140" t="s">
        <v>705</v>
      </c>
      <c r="G114" s="129" t="s">
        <v>709</v>
      </c>
      <c r="H114" s="140" t="s">
        <v>712</v>
      </c>
      <c r="I114" s="140" t="s">
        <v>710</v>
      </c>
      <c r="J114" s="140" t="s">
        <v>707</v>
      </c>
      <c r="K114" s="140"/>
      <c r="L114" s="138" t="s">
        <v>633</v>
      </c>
      <c r="M114" s="141"/>
      <c r="N114" s="140"/>
      <c r="O114" s="140"/>
    </row>
    <row r="115" spans="1:15">
      <c r="A115" s="139"/>
      <c r="B115" s="136" t="s">
        <v>12</v>
      </c>
      <c r="C115" s="138" t="s">
        <v>690</v>
      </c>
      <c r="D115" s="129" t="str">
        <f t="shared" si="1"/>
        <v>cl-hs_SubtotalFlujosEfectivoNetosProcedentesUtilizadosActividadesFinanciacionServiciosAseguradora</v>
      </c>
      <c r="E115" s="140" t="s">
        <v>708</v>
      </c>
      <c r="F115" s="140" t="s">
        <v>705</v>
      </c>
      <c r="G115" s="129" t="s">
        <v>709</v>
      </c>
      <c r="H115" s="140" t="s">
        <v>712</v>
      </c>
      <c r="I115" s="140" t="s">
        <v>710</v>
      </c>
      <c r="J115" s="140" t="s">
        <v>707</v>
      </c>
      <c r="K115" s="140"/>
      <c r="L115" s="138" t="s">
        <v>689</v>
      </c>
      <c r="M115" s="140"/>
      <c r="N115" s="140"/>
      <c r="O115" s="140"/>
    </row>
    <row r="116" spans="1:15">
      <c r="A116" s="144"/>
      <c r="B116" s="145" t="s">
        <v>55</v>
      </c>
      <c r="C116" s="145"/>
      <c r="D116" s="145"/>
      <c r="E116" s="145"/>
      <c r="F116" s="145"/>
      <c r="G116" s="145"/>
      <c r="H116" s="145"/>
      <c r="I116" s="145"/>
      <c r="J116" s="145"/>
      <c r="K116" s="146"/>
      <c r="L116" s="147" t="s">
        <v>55</v>
      </c>
      <c r="M116" s="145"/>
      <c r="N116" s="145"/>
      <c r="O116" s="145"/>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M60"/>
  <sheetViews>
    <sheetView topLeftCell="A28" workbookViewId="0">
      <selection activeCell="B59" sqref="B59"/>
    </sheetView>
  </sheetViews>
  <sheetFormatPr baseColWidth="10" defaultRowHeight="15"/>
  <cols>
    <col min="2" max="2" width="6.140625" bestFit="1" customWidth="1"/>
    <col min="3" max="3" width="55.140625" bestFit="1" customWidth="1"/>
    <col min="5" max="5" width="68.5703125" bestFit="1" customWidth="1"/>
    <col min="6" max="7" width="11.42578125" style="148"/>
    <col min="8" max="8" width="11.85546875" style="148" bestFit="1" customWidth="1"/>
    <col min="9" max="9" width="56.42578125" bestFit="1" customWidth="1"/>
    <col min="10" max="10" width="95.7109375" customWidth="1"/>
    <col min="11" max="11" width="37.7109375" customWidth="1"/>
  </cols>
  <sheetData>
    <row r="4" spans="2:13">
      <c r="M4" s="149"/>
    </row>
    <row r="5" spans="2:13">
      <c r="B5" s="27" t="s">
        <v>27</v>
      </c>
      <c r="C5" s="28" t="s">
        <v>93</v>
      </c>
      <c r="D5" s="29"/>
      <c r="E5" s="28" t="str">
        <f>+DirOficial&amp;"cl-ci_circ-1901/cl-ci_circ-1901_2008-10-30_role-872000.xsd"</f>
        <v>http://www.svs.cl/cl/fr/ci/2017-01-03/cl-ci_circ-1901/cl-ci_circ-1901_2008-10-30_role-872000.xsd</v>
      </c>
      <c r="F5" s="148" t="str">
        <f>RIGHT(C5,6)</f>
        <v>872000</v>
      </c>
      <c r="G5" s="148" t="str">
        <f>RIGHT(I5,6)</f>
        <v>872000</v>
      </c>
      <c r="H5" s="148" t="b">
        <f>+F5=G5</f>
        <v>1</v>
      </c>
      <c r="I5" s="154" t="s">
        <v>723</v>
      </c>
      <c r="J5" s="149" t="str">
        <f>+DirOficial&amp;"cl-ci_circ-1901/cl-ci_circ-1901_2008-10-30_role-872000.xsd"</f>
        <v>http://www.svs.cl/cl/fr/ci/2017-01-03/cl-ci_circ-1901/cl-ci_circ-1901_2008-10-30_role-872000.xsd</v>
      </c>
      <c r="K5" s="149"/>
      <c r="L5" s="149"/>
    </row>
    <row r="6" spans="2:13">
      <c r="B6" s="27" t="s">
        <v>27</v>
      </c>
      <c r="C6" s="28" t="s">
        <v>82</v>
      </c>
      <c r="D6" s="29"/>
      <c r="E6" s="28" t="str">
        <f>+DirOficial&amp;"cl-ci_circ-1901/cl-ci_circ-1901_2008-10-30_role-890000.xsd"</f>
        <v>http://www.svs.cl/cl/fr/ci/2017-01-03/cl-ci_circ-1901/cl-ci_circ-1901_2008-10-30_role-890000.xsd</v>
      </c>
      <c r="F6" s="148" t="str">
        <f t="shared" ref="F6:F58" si="0">RIGHT(C6,6)</f>
        <v>890000</v>
      </c>
      <c r="G6" s="148" t="str">
        <f t="shared" ref="G6:G58" si="1">RIGHT(I6,6)</f>
        <v>890000</v>
      </c>
      <c r="H6" s="148" t="b">
        <f t="shared" ref="H6:H58" si="2">+F6=G6</f>
        <v>1</v>
      </c>
      <c r="I6" s="154" t="s">
        <v>724</v>
      </c>
      <c r="J6" s="149" t="str">
        <f>+DirOficial&amp;"cl-ci_circ-1901/cl-ci_circ-1901_2008-10-30_role-890000.xsd"</f>
        <v>http://www.svs.cl/cl/fr/ci/2017-01-03/cl-ci_circ-1901/cl-ci_circ-1901_2008-10-30_role-890000.xsd</v>
      </c>
      <c r="K6" s="149"/>
      <c r="L6" s="149"/>
    </row>
    <row r="7" spans="2:13">
      <c r="B7" s="27" t="s">
        <v>27</v>
      </c>
      <c r="C7" s="28" t="s">
        <v>73</v>
      </c>
      <c r="D7" s="29"/>
      <c r="E7" s="28" t="str">
        <f>+DirOficial&amp;"cl-ci_cl-cp/cl-ci_cl-cp_2016-01-11_role-822400.xsd"</f>
        <v>http://www.svs.cl/cl/fr/ci/2017-01-03/cl-ci_cl-cp/cl-ci_cl-cp_2016-01-11_role-822400.xsd</v>
      </c>
      <c r="F7" s="148" t="str">
        <f t="shared" si="0"/>
        <v>822400</v>
      </c>
      <c r="G7" s="148" t="str">
        <f t="shared" si="1"/>
        <v>822400</v>
      </c>
      <c r="H7" s="148" t="b">
        <f t="shared" si="2"/>
        <v>1</v>
      </c>
      <c r="I7" s="154" t="s">
        <v>725</v>
      </c>
      <c r="J7" s="149" t="str">
        <f>+DirOficial&amp;"cl-ci_cl-cp/cl-ci_cl-cp_2017-01-03_role-822400.xsd"</f>
        <v>http://www.svs.cl/cl/fr/ci/2017-01-03/cl-ci_cl-cp/cl-ci_cl-cp_2017-01-03_role-822400.xsd</v>
      </c>
      <c r="K7" s="149"/>
      <c r="L7" s="149"/>
      <c r="M7" s="149"/>
    </row>
    <row r="8" spans="2:13">
      <c r="B8" s="27" t="s">
        <v>27</v>
      </c>
      <c r="C8" s="28" t="s">
        <v>94</v>
      </c>
      <c r="D8" s="29"/>
      <c r="E8" s="28" t="str">
        <f>+DirOficial&amp;"cl-ci_cl-cp/cl-ci_cl-cp_2016-01-11_role-822410.xsd"</f>
        <v>http://www.svs.cl/cl/fr/ci/2017-01-03/cl-ci_cl-cp/cl-ci_cl-cp_2016-01-11_role-822410.xsd</v>
      </c>
      <c r="F8" s="148" t="str">
        <f t="shared" si="0"/>
        <v>822410</v>
      </c>
      <c r="G8" s="148" t="str">
        <f t="shared" si="1"/>
        <v>822410</v>
      </c>
      <c r="H8" s="148" t="b">
        <f t="shared" si="2"/>
        <v>1</v>
      </c>
      <c r="I8" s="154" t="s">
        <v>726</v>
      </c>
      <c r="J8" s="149" t="str">
        <f>+DirOficial&amp;"cl-ci_cl-cp/cl-ci_cl-cp_2017-01-03_role-822410.xsd"</f>
        <v>http://www.svs.cl/cl/fr/ci/2017-01-03/cl-ci_cl-cp/cl-ci_cl-cp_2017-01-03_role-822410.xsd</v>
      </c>
      <c r="K8" s="149"/>
      <c r="L8" s="149"/>
      <c r="M8" s="149"/>
    </row>
    <row r="9" spans="2:13">
      <c r="B9" s="27" t="s">
        <v>27</v>
      </c>
      <c r="C9" s="28" t="s">
        <v>59</v>
      </c>
      <c r="D9" s="29"/>
      <c r="E9" s="28" t="str">
        <f>+DirOficial&amp;"cl-ci_cl-cp/cl-ci_cl-cp_2016-01-11_role-822450.xsd"</f>
        <v>http://www.svs.cl/cl/fr/ci/2017-01-03/cl-ci_cl-cp/cl-ci_cl-cp_2016-01-11_role-822450.xsd</v>
      </c>
      <c r="F9" s="148" t="str">
        <f t="shared" si="0"/>
        <v>822450</v>
      </c>
      <c r="G9" s="148" t="str">
        <f t="shared" si="1"/>
        <v>822450</v>
      </c>
      <c r="H9" s="148" t="b">
        <f t="shared" si="2"/>
        <v>1</v>
      </c>
      <c r="I9" s="154" t="s">
        <v>727</v>
      </c>
      <c r="J9" s="149" t="str">
        <f>+DirOficial&amp;"cl-ci_cl-cp/cl-ci_cl-cp_2017-01-03_role-822450.xsd"</f>
        <v>http://www.svs.cl/cl/fr/ci/2017-01-03/cl-ci_cl-cp/cl-ci_cl-cp_2017-01-03_role-822450.xsd</v>
      </c>
      <c r="K9" s="149"/>
      <c r="L9" s="149"/>
      <c r="M9" s="149"/>
    </row>
    <row r="10" spans="2:13">
      <c r="B10" s="27" t="s">
        <v>27</v>
      </c>
      <c r="C10" s="28" t="s">
        <v>72</v>
      </c>
      <c r="D10" s="29"/>
      <c r="E10" s="28" t="str">
        <f>+DirOficial&amp;"cl-ci_cl-cp/cl-ci_cl-cp_2016-01-11_role-873000.xsd"</f>
        <v>http://www.svs.cl/cl/fr/ci/2017-01-03/cl-ci_cl-cp/cl-ci_cl-cp_2016-01-11_role-873000.xsd</v>
      </c>
      <c r="F10" s="148" t="str">
        <f t="shared" si="0"/>
        <v>873000</v>
      </c>
      <c r="G10" s="148" t="str">
        <f t="shared" si="1"/>
        <v>873000</v>
      </c>
      <c r="H10" s="148" t="b">
        <f t="shared" si="2"/>
        <v>1</v>
      </c>
      <c r="I10" s="154" t="s">
        <v>728</v>
      </c>
      <c r="J10" s="149" t="str">
        <f>+DirOficial&amp;"cl-ci_cl-cp/cl-ci_cl-cp_2017-01-03_role-873000.xsd"</f>
        <v>http://www.svs.cl/cl/fr/ci/2017-01-03/cl-ci_cl-cp/cl-ci_cl-cp_2017-01-03_role-873000.xsd</v>
      </c>
      <c r="K10" s="149"/>
      <c r="L10" s="149"/>
    </row>
    <row r="11" spans="2:13">
      <c r="B11" s="27" t="s">
        <v>27</v>
      </c>
      <c r="C11" s="28" t="s">
        <v>60</v>
      </c>
      <c r="D11" s="29"/>
      <c r="E11" s="28" t="str">
        <f>+DirOficial&amp;"cl-ci_cl-cp/cl-ci_cl-cp_2016-01-11_role-874000.xsd"</f>
        <v>http://www.svs.cl/cl/fr/ci/2017-01-03/cl-ci_cl-cp/cl-ci_cl-cp_2016-01-11_role-874000.xsd</v>
      </c>
      <c r="F11" s="148" t="str">
        <f t="shared" si="0"/>
        <v>874000</v>
      </c>
      <c r="G11" s="148" t="str">
        <f t="shared" si="1"/>
        <v>874000</v>
      </c>
      <c r="H11" s="148" t="b">
        <f t="shared" si="2"/>
        <v>1</v>
      </c>
      <c r="I11" s="154" t="s">
        <v>729</v>
      </c>
      <c r="J11" s="149" t="str">
        <f>+DirOficial&amp;"cl-ci_cl-cp/cl-ci_cl-cp_2017-01-03_role-874000.xsd"</f>
        <v>http://www.svs.cl/cl/fr/ci/2017-01-03/cl-ci_cl-cp/cl-ci_cl-cp_2017-01-03_role-874000.xsd</v>
      </c>
      <c r="K11" s="149"/>
      <c r="L11" s="149"/>
    </row>
    <row r="12" spans="2:13">
      <c r="B12" s="27" t="s">
        <v>27</v>
      </c>
      <c r="C12" s="28" t="s">
        <v>91</v>
      </c>
      <c r="D12" s="29"/>
      <c r="E12" s="28" t="str">
        <f>+DirOficial&amp;"cl-ci_cl-cp/cl-ci_cl-cp_2016-01-11_role-875000.xsd"</f>
        <v>http://www.svs.cl/cl/fr/ci/2017-01-03/cl-ci_cl-cp/cl-ci_cl-cp_2016-01-11_role-875000.xsd</v>
      </c>
      <c r="F12" s="148" t="str">
        <f t="shared" si="0"/>
        <v>875000</v>
      </c>
      <c r="G12" s="148" t="str">
        <f t="shared" si="1"/>
        <v>875000</v>
      </c>
      <c r="H12" s="148" t="b">
        <f t="shared" si="2"/>
        <v>1</v>
      </c>
      <c r="I12" s="154" t="s">
        <v>730</v>
      </c>
      <c r="J12" s="149" t="str">
        <f>+DirOficial&amp;"cl-ci_cl-cp/cl-ci_cl-cp_2017-01-03_role-875000.xsd"</f>
        <v>http://www.svs.cl/cl/fr/ci/2017-01-03/cl-ci_cl-cp/cl-ci_cl-cp_2017-01-03_role-875000.xsd</v>
      </c>
      <c r="K12" s="149"/>
      <c r="L12" s="149"/>
    </row>
    <row r="13" spans="2:13">
      <c r="B13" s="27" t="s">
        <v>27</v>
      </c>
      <c r="C13" s="28" t="s">
        <v>106</v>
      </c>
      <c r="D13" s="32"/>
      <c r="E13" s="28" t="str">
        <f>+DirOficial&amp;"cl-ci_ias-1/cl-ci_ias-1_2015-03-11_role-110000.xsd"</f>
        <v>http://www.svs.cl/cl/fr/ci/2017-01-03/cl-ci_ias-1/cl-ci_ias-1_2015-03-11_role-110000.xsd</v>
      </c>
      <c r="F13" s="148" t="str">
        <f t="shared" si="0"/>
        <v>110000</v>
      </c>
      <c r="G13" s="148" t="str">
        <f t="shared" si="1"/>
        <v>110000</v>
      </c>
      <c r="H13" s="148" t="b">
        <f t="shared" si="2"/>
        <v>1</v>
      </c>
      <c r="I13" s="154" t="s">
        <v>731</v>
      </c>
      <c r="J13" s="149" t="str">
        <f>+DirOficial&amp;"cl-ci_ias-1/cl-ci_ias-1_2016-03-31_role-110000.xsd"</f>
        <v>http://www.svs.cl/cl/fr/ci/2017-01-03/cl-ci_ias-1/cl-ci_ias-1_2016-03-31_role-110000.xsd</v>
      </c>
      <c r="K13" s="149"/>
      <c r="L13" s="149"/>
      <c r="M13" s="149"/>
    </row>
    <row r="14" spans="2:13">
      <c r="B14" s="27" t="s">
        <v>27</v>
      </c>
      <c r="C14" s="28" t="s">
        <v>107</v>
      </c>
      <c r="D14" s="29"/>
      <c r="E14" s="28" t="str">
        <f>+DirOficial&amp;"cl-ci_ias-1/cl-ci_ias-1_2015-03-11_role-420000.xsd"</f>
        <v>http://www.svs.cl/cl/fr/ci/2017-01-03/cl-ci_ias-1/cl-ci_ias-1_2015-03-11_role-420000.xsd</v>
      </c>
      <c r="F14" s="148" t="str">
        <f t="shared" si="0"/>
        <v>420000</v>
      </c>
      <c r="G14" s="148" t="str">
        <f t="shared" si="1"/>
        <v>420000</v>
      </c>
      <c r="H14" s="148" t="b">
        <f t="shared" si="2"/>
        <v>1</v>
      </c>
      <c r="I14" s="154" t="s">
        <v>732</v>
      </c>
      <c r="J14" s="149" t="str">
        <f>+DirOficial&amp;"cl-ci_ias-1/cl-ci_ias-1_2016-03-31_role-420000.xsd"</f>
        <v>http://www.svs.cl/cl/fr/ci/2017-01-03/cl-ci_ias-1/cl-ci_ias-1_2016-03-31_role-420000.xsd</v>
      </c>
      <c r="K14" s="149"/>
      <c r="L14" s="149"/>
      <c r="M14" s="149"/>
    </row>
    <row r="15" spans="2:13">
      <c r="B15" s="27" t="s">
        <v>27</v>
      </c>
      <c r="C15" s="28" t="s">
        <v>108</v>
      </c>
      <c r="D15" s="29"/>
      <c r="E15" s="28" t="str">
        <f>+DirOficial&amp;"cl-ci_ias-1/cl-ci_ias-1_2015-03-11_role-610000.xsd"</f>
        <v>http://www.svs.cl/cl/fr/ci/2017-01-03/cl-ci_ias-1/cl-ci_ias-1_2015-03-11_role-610000.xsd</v>
      </c>
      <c r="F15" s="148" t="str">
        <f t="shared" si="0"/>
        <v>610000</v>
      </c>
      <c r="G15" s="148" t="str">
        <f t="shared" si="1"/>
        <v>610000</v>
      </c>
      <c r="H15" s="148" t="b">
        <f t="shared" si="2"/>
        <v>1</v>
      </c>
      <c r="I15" s="154" t="s">
        <v>733</v>
      </c>
      <c r="J15" s="149" t="str">
        <f>+DirOficial&amp;"cl-ci_ias-1/cl-ci_ias-1_2016-03-31_role-610000.xsd"</f>
        <v>http://www.svs.cl/cl/fr/ci/2017-01-03/cl-ci_ias-1/cl-ci_ias-1_2016-03-31_role-610000.xsd</v>
      </c>
      <c r="K15" s="149"/>
      <c r="L15" s="149"/>
      <c r="M15" s="149"/>
    </row>
    <row r="16" spans="2:13">
      <c r="B16" s="27" t="s">
        <v>27</v>
      </c>
      <c r="C16" s="28" t="s">
        <v>101</v>
      </c>
      <c r="D16" s="29"/>
      <c r="E16" s="28" t="str">
        <f>+DirOficial&amp;"cl-ci_ias-1/cl-ci_ias-1_2015-03-11_role-800100.xsd"</f>
        <v>http://www.svs.cl/cl/fr/ci/2017-01-03/cl-ci_ias-1/cl-ci_ias-1_2015-03-11_role-800100.xsd</v>
      </c>
      <c r="F16" s="148" t="str">
        <f t="shared" si="0"/>
        <v>800100</v>
      </c>
      <c r="G16" s="148" t="str">
        <f t="shared" si="1"/>
        <v>800100</v>
      </c>
      <c r="H16" s="148" t="b">
        <f t="shared" si="2"/>
        <v>1</v>
      </c>
      <c r="I16" s="154" t="s">
        <v>734</v>
      </c>
      <c r="J16" s="149" t="str">
        <f>+DirOficial&amp;"cl-ci_ias-1/cl-ci_ias-1_2016-03-31_role-800100.xsd"</f>
        <v>http://www.svs.cl/cl/fr/ci/2017-01-03/cl-ci_ias-1/cl-ci_ias-1_2016-03-31_role-800100.xsd</v>
      </c>
      <c r="K16" s="149"/>
      <c r="L16" s="149"/>
      <c r="M16" s="149"/>
    </row>
    <row r="17" spans="2:13">
      <c r="B17" s="27" t="s">
        <v>27</v>
      </c>
      <c r="C17" s="28" t="s">
        <v>85</v>
      </c>
      <c r="D17" s="29"/>
      <c r="E17" s="28" t="str">
        <f>+DirOficial&amp;"cl-ci_ias-1/cl-ci_ias-1_2015-03-11_role-800200.xsd"</f>
        <v>http://www.svs.cl/cl/fr/ci/2017-01-03/cl-ci_ias-1/cl-ci_ias-1_2015-03-11_role-800200.xsd</v>
      </c>
      <c r="F17" s="148" t="str">
        <f t="shared" si="0"/>
        <v>800200</v>
      </c>
      <c r="G17" s="148" t="str">
        <f t="shared" si="1"/>
        <v>800200</v>
      </c>
      <c r="H17" s="148" t="b">
        <f t="shared" si="2"/>
        <v>1</v>
      </c>
      <c r="I17" s="154" t="s">
        <v>735</v>
      </c>
      <c r="J17" s="149" t="str">
        <f>+DirOficial&amp;"cl-ci_ias-1/cl-ci_ias-1_2016-03-31_role-800200.xsd"</f>
        <v>http://www.svs.cl/cl/fr/ci/2017-01-03/cl-ci_ias-1/cl-ci_ias-1_2016-03-31_role-800200.xsd</v>
      </c>
      <c r="K17" s="149"/>
      <c r="L17" s="149"/>
      <c r="M17" s="149"/>
    </row>
    <row r="18" spans="2:13">
      <c r="B18" s="27" t="s">
        <v>27</v>
      </c>
      <c r="C18" s="28" t="s">
        <v>92</v>
      </c>
      <c r="D18" s="29"/>
      <c r="E18" s="28" t="str">
        <f>+DirOficial&amp;"cl-ci_ias-1/cl-ci_ias-1_2015-03-11_role-800500.xsd"</f>
        <v>http://www.svs.cl/cl/fr/ci/2017-01-03/cl-ci_ias-1/cl-ci_ias-1_2015-03-11_role-800500.xsd</v>
      </c>
      <c r="F18" s="148" t="str">
        <f t="shared" si="0"/>
        <v>800500</v>
      </c>
      <c r="G18" s="148" t="str">
        <f t="shared" si="1"/>
        <v>800500</v>
      </c>
      <c r="H18" s="148" t="b">
        <f t="shared" si="2"/>
        <v>1</v>
      </c>
      <c r="I18" s="154" t="s">
        <v>736</v>
      </c>
      <c r="J18" s="149" t="str">
        <f>+DirOficial&amp;"cl-ci_ias-1/cl-ci_ias-1_2016-03-31_role-800500.xsd"</f>
        <v>http://www.svs.cl/cl/fr/ci/2017-01-03/cl-ci_ias-1/cl-ci_ias-1_2016-03-31_role-800500.xsd</v>
      </c>
      <c r="K18" s="149"/>
      <c r="L18" s="149"/>
      <c r="M18" s="149"/>
    </row>
    <row r="19" spans="2:13">
      <c r="B19" s="27" t="s">
        <v>27</v>
      </c>
      <c r="C19" s="28" t="s">
        <v>80</v>
      </c>
      <c r="D19" s="29"/>
      <c r="E19" s="28" t="str">
        <f>+DirOficial&amp;"cl-ci_ias-1/cl-ci_ias-1_2015-03-11_role-800600.xsd"</f>
        <v>http://www.svs.cl/cl/fr/ci/2017-01-03/cl-ci_ias-1/cl-ci_ias-1_2015-03-11_role-800600.xsd</v>
      </c>
      <c r="F19" s="148" t="str">
        <f t="shared" si="0"/>
        <v>800600</v>
      </c>
      <c r="G19" s="148" t="str">
        <f t="shared" si="1"/>
        <v>800600</v>
      </c>
      <c r="H19" s="148" t="b">
        <f t="shared" si="2"/>
        <v>1</v>
      </c>
      <c r="I19" s="154" t="s">
        <v>737</v>
      </c>
      <c r="J19" s="149" t="str">
        <f>+DirOficial&amp;"cl-ci_ias-1/cl-ci_ias-1_2016-03-31_role-800600.xsd"</f>
        <v>http://www.svs.cl/cl/fr/ci/2017-01-03/cl-ci_ias-1/cl-ci_ias-1_2016-03-31_role-800600.xsd</v>
      </c>
      <c r="K19" s="149"/>
      <c r="L19" s="149"/>
      <c r="M19" s="149"/>
    </row>
    <row r="20" spans="2:13">
      <c r="B20" s="27" t="s">
        <v>27</v>
      </c>
      <c r="C20" s="28" t="s">
        <v>96</v>
      </c>
      <c r="D20" s="29"/>
      <c r="E20" s="28" t="str">
        <f>+DirOficial&amp;"cl-ci_ias-1/cl-ci_ias-1_2015-03-11_role-810000.xsd"</f>
        <v>http://www.svs.cl/cl/fr/ci/2017-01-03/cl-ci_ias-1/cl-ci_ias-1_2015-03-11_role-810000.xsd</v>
      </c>
      <c r="F20" s="148" t="str">
        <f t="shared" si="0"/>
        <v>810000</v>
      </c>
      <c r="G20" s="148" t="str">
        <f t="shared" si="1"/>
        <v>810000</v>
      </c>
      <c r="H20" s="148" t="b">
        <f t="shared" si="2"/>
        <v>1</v>
      </c>
      <c r="I20" s="154" t="s">
        <v>738</v>
      </c>
      <c r="J20" s="149" t="str">
        <f>+DirOficial&amp;"cl-ci_ias-1/cl-ci_ias-1_2016-03-31_role-810000.xsd"</f>
        <v>http://www.svs.cl/cl/fr/ci/2017-01-03/cl-ci_ias-1/cl-ci_ias-1_2016-03-31_role-810000.xsd</v>
      </c>
      <c r="K20" s="149"/>
      <c r="L20" s="149"/>
      <c r="M20" s="149"/>
    </row>
    <row r="21" spans="2:13">
      <c r="B21" s="27" t="s">
        <v>27</v>
      </c>
      <c r="C21" s="28" t="s">
        <v>87</v>
      </c>
      <c r="D21" s="29"/>
      <c r="E21" s="28" t="str">
        <f>+DirOficial&amp;"cl-ci_ias-1/cl-ci_ias-1_2015-03-11_role-861000.xsd"</f>
        <v>http://www.svs.cl/cl/fr/ci/2017-01-03/cl-ci_ias-1/cl-ci_ias-1_2015-03-11_role-861000.xsd</v>
      </c>
      <c r="F21" s="148" t="str">
        <f t="shared" si="0"/>
        <v>861000</v>
      </c>
      <c r="G21" s="148" t="str">
        <f t="shared" si="1"/>
        <v>861000</v>
      </c>
      <c r="H21" s="148" t="b">
        <f t="shared" si="2"/>
        <v>1</v>
      </c>
      <c r="I21" s="154" t="s">
        <v>739</v>
      </c>
      <c r="J21" s="149" t="str">
        <f>+DirOficial&amp;"cl-ci_ias-1/cl-ci_ias-1_2016-03-31_role-861000.xsd"</f>
        <v>http://www.svs.cl/cl/fr/ci/2017-01-03/cl-ci_ias-1/cl-ci_ias-1_2016-03-31_role-861000.xsd</v>
      </c>
      <c r="K21" s="149"/>
      <c r="L21" s="149"/>
      <c r="M21" s="149"/>
    </row>
    <row r="22" spans="2:13">
      <c r="B22" s="27" t="s">
        <v>27</v>
      </c>
      <c r="C22" s="28" t="s">
        <v>61</v>
      </c>
      <c r="D22" s="29"/>
      <c r="E22" s="28" t="str">
        <f>+DirOficial&amp;"cl-ci_ias-1/cl-ci_ias-1_2015-03-11_role-861200.xsd"</f>
        <v>http://www.svs.cl/cl/fr/ci/2017-01-03/cl-ci_ias-1/cl-ci_ias-1_2015-03-11_role-861200.xsd</v>
      </c>
      <c r="F22" s="148" t="str">
        <f t="shared" si="0"/>
        <v>861200</v>
      </c>
      <c r="G22" s="148" t="str">
        <f t="shared" si="1"/>
        <v>861200</v>
      </c>
      <c r="H22" s="148" t="b">
        <f t="shared" si="2"/>
        <v>1</v>
      </c>
      <c r="I22" s="154" t="s">
        <v>740</v>
      </c>
      <c r="J22" s="149" t="str">
        <f>+DirOficial&amp;"cl-ci_ias-1/cl-ci_ias-1_2016-03-31_role-861200.xsd"</f>
        <v>http://www.svs.cl/cl/fr/ci/2017-01-03/cl-ci_ias-1/cl-ci_ias-1_2016-03-31_role-861200.xsd</v>
      </c>
      <c r="K22" s="149"/>
      <c r="L22" s="149"/>
      <c r="M22" s="149"/>
    </row>
    <row r="23" spans="2:13">
      <c r="B23" s="27" t="s">
        <v>27</v>
      </c>
      <c r="C23" s="28" t="s">
        <v>66</v>
      </c>
      <c r="D23" s="29"/>
      <c r="E23" s="28" t="str">
        <f>+DirOficial&amp;"cl-ci_ias-1/cl-ci_ias-1_2015-03-11_role-880000.xsd"</f>
        <v>http://www.svs.cl/cl/fr/ci/2017-01-03/cl-ci_ias-1/cl-ci_ias-1_2015-03-11_role-880000.xsd</v>
      </c>
      <c r="F23" s="148" t="str">
        <f t="shared" si="0"/>
        <v>880000</v>
      </c>
      <c r="G23" s="148" t="str">
        <f t="shared" si="1"/>
        <v>880000</v>
      </c>
      <c r="H23" s="148" t="b">
        <f t="shared" si="2"/>
        <v>1</v>
      </c>
      <c r="I23" s="154" t="s">
        <v>741</v>
      </c>
      <c r="J23" s="149" t="str">
        <f>+DirOficial&amp;"cl-ci_ias-1/cl-ci_ias-1_2016-03-31_role-880000.xsd"</f>
        <v>http://www.svs.cl/cl/fr/ci/2017-01-03/cl-ci_ias-1/cl-ci_ias-1_2016-03-31_role-880000.xsd</v>
      </c>
      <c r="K23" s="149"/>
      <c r="L23" s="149"/>
    </row>
    <row r="24" spans="2:13">
      <c r="B24" s="27" t="s">
        <v>27</v>
      </c>
      <c r="C24" s="28" t="s">
        <v>99</v>
      </c>
      <c r="D24" s="29"/>
      <c r="E24" s="28" t="str">
        <f>+DirOficial&amp;"cl-ci_ias-10/cl-ci_ias-10_2015-03-11_role-815000.xsd"</f>
        <v>http://www.svs.cl/cl/fr/ci/2017-01-03/cl-ci_ias-10/cl-ci_ias-10_2015-03-11_role-815000.xsd</v>
      </c>
      <c r="F24" s="148" t="str">
        <f t="shared" si="0"/>
        <v>815000</v>
      </c>
      <c r="G24" s="148" t="str">
        <f t="shared" si="1"/>
        <v>815000</v>
      </c>
      <c r="H24" s="148" t="b">
        <f t="shared" si="2"/>
        <v>1</v>
      </c>
      <c r="I24" s="154" t="s">
        <v>742</v>
      </c>
      <c r="J24" s="149" t="str">
        <f>+DirOficial&amp;"cl-ci_ias-10/cl-ci_ias-10_2016-03-31_role-815000.xsd"</f>
        <v>http://www.svs.cl/cl/fr/ci/2017-01-03/cl-ci_ias-10/cl-ci_ias-10_2016-03-31_role-815000.xsd</v>
      </c>
      <c r="K24" s="149"/>
      <c r="L24" s="149"/>
      <c r="M24" s="149"/>
    </row>
    <row r="25" spans="2:13">
      <c r="B25" s="27" t="s">
        <v>27</v>
      </c>
      <c r="C25" s="28" t="s">
        <v>62</v>
      </c>
      <c r="D25" s="29"/>
      <c r="E25" s="28" t="str">
        <f>+DirOficial&amp;"cl-ci_ias-11/cl-ci_ias-11_2015-03-11_role-831710.xsd"</f>
        <v>http://www.svs.cl/cl/fr/ci/2017-01-03/cl-ci_ias-11/cl-ci_ias-11_2015-03-11_role-831710.xsd</v>
      </c>
      <c r="F25" s="148" t="str">
        <f t="shared" si="0"/>
        <v>831710</v>
      </c>
      <c r="G25" s="148" t="str">
        <f t="shared" si="1"/>
        <v>831710</v>
      </c>
      <c r="H25" s="148" t="b">
        <f t="shared" si="2"/>
        <v>1</v>
      </c>
      <c r="I25" s="154" t="s">
        <v>743</v>
      </c>
      <c r="J25" s="149" t="str">
        <f>+DirOficial&amp;"cl-ci_ias-11/cl-ci_ias-11_2016-03-31_role-831710.xsd"</f>
        <v>http://www.svs.cl/cl/fr/ci/2017-01-03/cl-ci_ias-11/cl-ci_ias-11_2016-03-31_role-831710.xsd</v>
      </c>
      <c r="K25" s="149"/>
      <c r="L25" s="149"/>
      <c r="M25" s="149"/>
    </row>
    <row r="26" spans="2:13">
      <c r="B26" s="27" t="s">
        <v>27</v>
      </c>
      <c r="C26" s="28" t="s">
        <v>68</v>
      </c>
      <c r="D26" s="29"/>
      <c r="E26" s="28" t="str">
        <f>+DirOficial&amp;"cl-ci_ias-12/cl-ci_ias-12_2015-03-11_role-835110.xsd"</f>
        <v>http://www.svs.cl/cl/fr/ci/2017-01-03/cl-ci_ias-12/cl-ci_ias-12_2015-03-11_role-835110.xsd</v>
      </c>
      <c r="F26" s="148" t="str">
        <f t="shared" si="0"/>
        <v>835110</v>
      </c>
      <c r="G26" s="148" t="str">
        <f t="shared" si="1"/>
        <v>835110</v>
      </c>
      <c r="H26" s="148" t="b">
        <f t="shared" si="2"/>
        <v>1</v>
      </c>
      <c r="I26" s="154" t="s">
        <v>744</v>
      </c>
      <c r="J26" s="149" t="str">
        <f>+DirOficial&amp;"cl-ci_ias-12/cl-ci_ias-12_2016-03-31_role-835110.xsd"</f>
        <v>http://www.svs.cl/cl/fr/ci/2017-01-03/cl-ci_ias-12/cl-ci_ias-12_2016-03-31_role-835110.xsd</v>
      </c>
      <c r="K26" s="149"/>
      <c r="L26" s="149"/>
      <c r="M26" s="149"/>
    </row>
    <row r="27" spans="2:13">
      <c r="B27" s="27" t="s">
        <v>27</v>
      </c>
      <c r="C27" s="28" t="s">
        <v>78</v>
      </c>
      <c r="D27" s="29"/>
      <c r="E27" s="28" t="str">
        <f>+DirOficial&amp;"cl-ci_ias-16/cl-ci_ias-16_2015-03-11_role-822100.xsd"</f>
        <v>http://www.svs.cl/cl/fr/ci/2017-01-03/cl-ci_ias-16/cl-ci_ias-16_2015-03-11_role-822100.xsd</v>
      </c>
      <c r="F27" s="148" t="str">
        <f t="shared" si="0"/>
        <v>822100</v>
      </c>
      <c r="G27" s="148" t="str">
        <f t="shared" si="1"/>
        <v>822100</v>
      </c>
      <c r="H27" s="148" t="b">
        <f t="shared" si="2"/>
        <v>1</v>
      </c>
      <c r="I27" s="154" t="s">
        <v>745</v>
      </c>
      <c r="J27" s="149" t="str">
        <f>+DirOficial&amp;"cl-ci_ias-16/cl-ci_ias-16_2016-03-31_role-822100.xsd"</f>
        <v>http://www.svs.cl/cl/fr/ci/2017-01-03/cl-ci_ias-16/cl-ci_ias-16_2016-03-31_role-822100.xsd</v>
      </c>
      <c r="K27" s="149"/>
      <c r="L27" s="149"/>
      <c r="M27" s="149"/>
    </row>
    <row r="28" spans="2:13">
      <c r="B28" s="27" t="s">
        <v>27</v>
      </c>
      <c r="C28" s="28" t="s">
        <v>100</v>
      </c>
      <c r="D28" s="29"/>
      <c r="E28" s="28" t="str">
        <f>+DirOficial&amp;"cl-ci_ias-17/cl-ci_ias-17_2015-03-11_role-832600.xsd"</f>
        <v>http://www.svs.cl/cl/fr/ci/2017-01-03/cl-ci_ias-17/cl-ci_ias-17_2015-03-11_role-832600.xsd</v>
      </c>
      <c r="F28" s="148" t="str">
        <f t="shared" si="0"/>
        <v>832600</v>
      </c>
      <c r="G28" s="148" t="str">
        <f t="shared" si="1"/>
        <v>832600</v>
      </c>
      <c r="H28" s="148" t="b">
        <f t="shared" si="2"/>
        <v>1</v>
      </c>
      <c r="I28" s="154" t="s">
        <v>746</v>
      </c>
      <c r="J28" s="149" t="str">
        <f>+DirOficial&amp;"cl-ci_ias-17/cl-ci_ias-17_2016-03-31_role-832600.xsd"</f>
        <v>http://www.svs.cl/cl/fr/ci/2017-01-03/cl-ci_ias-17/cl-ci_ias-17_2016-03-31_role-832600.xsd</v>
      </c>
      <c r="K28" s="149"/>
      <c r="L28" s="149"/>
      <c r="M28" s="149"/>
    </row>
    <row r="29" spans="2:13">
      <c r="B29" s="27" t="s">
        <v>27</v>
      </c>
      <c r="C29" s="28" t="s">
        <v>83</v>
      </c>
      <c r="D29" s="29"/>
      <c r="E29" s="28" t="str">
        <f>+DirOficial&amp;"cl-ci_ias-18/cl-ci_ias-18_2015-03-11_role-831110.xsd"</f>
        <v>http://www.svs.cl/cl/fr/ci/2017-01-03/cl-ci_ias-18/cl-ci_ias-18_2015-03-11_role-831110.xsd</v>
      </c>
      <c r="F29" s="148" t="str">
        <f t="shared" si="0"/>
        <v>831110</v>
      </c>
      <c r="G29" s="148" t="str">
        <f t="shared" si="1"/>
        <v>831110</v>
      </c>
      <c r="H29" s="148" t="b">
        <f t="shared" si="2"/>
        <v>1</v>
      </c>
      <c r="I29" s="154" t="s">
        <v>747</v>
      </c>
      <c r="J29" s="149" t="str">
        <f>+DirOficial&amp;"cl-ci_ias-18/cl-ci_ias-18_2016-03-31_role-831110.xsd"</f>
        <v>http://www.svs.cl/cl/fr/ci/2017-01-03/cl-ci_ias-18/cl-ci_ias-18_2016-03-31_role-831110.xsd</v>
      </c>
      <c r="K29" s="149"/>
      <c r="L29" s="149"/>
      <c r="M29" s="149"/>
    </row>
    <row r="30" spans="2:13">
      <c r="B30" s="27" t="s">
        <v>27</v>
      </c>
      <c r="C30" s="28" t="s">
        <v>63</v>
      </c>
      <c r="D30" s="29"/>
      <c r="E30" s="28" t="str">
        <f>+DirOficial&amp;"cl-ci_ias-19/cl-ci_ias-19_2015-03-11_role-834480.xsd"</f>
        <v>http://www.svs.cl/cl/fr/ci/2017-01-03/cl-ci_ias-19/cl-ci_ias-19_2015-03-11_role-834480.xsd</v>
      </c>
      <c r="F30" s="148" t="str">
        <f t="shared" si="0"/>
        <v>834480</v>
      </c>
      <c r="G30" s="148" t="str">
        <f t="shared" si="1"/>
        <v>834480</v>
      </c>
      <c r="H30" s="148" t="b">
        <f t="shared" si="2"/>
        <v>1</v>
      </c>
      <c r="I30" s="154" t="s">
        <v>748</v>
      </c>
      <c r="J30" s="149" t="str">
        <f>+DirOficial&amp;"cl-ci_ias-19/cl-ci_ias-19_2016-03-31_role-834480.xsd"</f>
        <v>http://www.svs.cl/cl/fr/ci/2017-01-03/cl-ci_ias-19/cl-ci_ias-19_2016-03-31_role-834480.xsd</v>
      </c>
      <c r="K30" s="149"/>
      <c r="L30" s="149"/>
      <c r="M30" s="149"/>
    </row>
    <row r="31" spans="2:13">
      <c r="B31" s="27" t="s">
        <v>27</v>
      </c>
      <c r="C31" s="28" t="s">
        <v>86</v>
      </c>
      <c r="D31" s="29"/>
      <c r="E31" s="28" t="str">
        <f>+DirOficial&amp;"cl-ci_ias-2/cl-ci_ias-2_2015-03-11_role-826380.xsd"</f>
        <v>http://www.svs.cl/cl/fr/ci/2017-01-03/cl-ci_ias-2/cl-ci_ias-2_2015-03-11_role-826380.xsd</v>
      </c>
      <c r="F31" s="148" t="str">
        <f t="shared" si="0"/>
        <v>826380</v>
      </c>
      <c r="G31" s="148" t="str">
        <f t="shared" si="1"/>
        <v>826380</v>
      </c>
      <c r="H31" s="148" t="b">
        <f t="shared" si="2"/>
        <v>1</v>
      </c>
      <c r="I31" s="154" t="s">
        <v>749</v>
      </c>
      <c r="J31" s="149" t="str">
        <f>+DirOficial&amp;"cl-ci_ias-2/cl-ci_ias-2_2016-03-31_role-826380.xsd"</f>
        <v>http://www.svs.cl/cl/fr/ci/2017-01-03/cl-ci_ias-2/cl-ci_ias-2_2016-03-31_role-826380.xsd</v>
      </c>
      <c r="K31" s="149"/>
      <c r="L31" s="149"/>
      <c r="M31" s="149"/>
    </row>
    <row r="32" spans="2:13">
      <c r="B32" s="27" t="s">
        <v>27</v>
      </c>
      <c r="C32" s="28" t="s">
        <v>71</v>
      </c>
      <c r="D32" s="29"/>
      <c r="E32" s="28" t="str">
        <f>+DirOficial&amp;"cl-ci_ias-20/cl-ci_ias-20_2015-03-11_role-831400.xsd"</f>
        <v>http://www.svs.cl/cl/fr/ci/2017-01-03/cl-ci_ias-20/cl-ci_ias-20_2015-03-11_role-831400.xsd</v>
      </c>
      <c r="F32" s="148" t="str">
        <f t="shared" si="0"/>
        <v>831400</v>
      </c>
      <c r="G32" s="148" t="str">
        <f t="shared" si="1"/>
        <v>831400</v>
      </c>
      <c r="H32" s="148" t="b">
        <f t="shared" si="2"/>
        <v>1</v>
      </c>
      <c r="I32" s="154" t="s">
        <v>750</v>
      </c>
      <c r="J32" s="149" t="str">
        <f>+DirOficial&amp;"cl-ci_ias-20/cl-ci_ias-20_2016-03-31_role-831400.xsd"</f>
        <v>http://www.svs.cl/cl/fr/ci/2017-01-03/cl-ci_ias-20/cl-ci_ias-20_2016-03-31_role-831400.xsd</v>
      </c>
      <c r="K32" s="149"/>
      <c r="L32" s="149"/>
      <c r="M32" s="149"/>
    </row>
    <row r="33" spans="2:13">
      <c r="B33" s="27" t="s">
        <v>27</v>
      </c>
      <c r="C33" s="28" t="s">
        <v>69</v>
      </c>
      <c r="D33" s="29"/>
      <c r="E33" s="28" t="str">
        <f>+DirOficial&amp;"cl-ci_ias-21/cl-ci_ias-21_2015-03-11_role-842000.xsd"</f>
        <v>http://www.svs.cl/cl/fr/ci/2017-01-03/cl-ci_ias-21/cl-ci_ias-21_2015-03-11_role-842000.xsd</v>
      </c>
      <c r="F33" s="148" t="str">
        <f t="shared" si="0"/>
        <v>842000</v>
      </c>
      <c r="G33" s="148" t="str">
        <f t="shared" si="1"/>
        <v>842000</v>
      </c>
      <c r="H33" s="148" t="b">
        <f t="shared" si="2"/>
        <v>1</v>
      </c>
      <c r="I33" s="154" t="s">
        <v>751</v>
      </c>
      <c r="J33" s="149" t="str">
        <f>+DirOficial&amp;"cl-ci_ias-21/cl-ci_ias-21_2016-03-31_role-842000.xsd"</f>
        <v>http://www.svs.cl/cl/fr/ci/2017-01-03/cl-ci_ias-21/cl-ci_ias-21_2016-03-31_role-842000.xsd</v>
      </c>
      <c r="K33" s="149"/>
      <c r="L33" s="149"/>
      <c r="M33" s="149"/>
    </row>
    <row r="34" spans="2:13">
      <c r="B34" s="27" t="s">
        <v>27</v>
      </c>
      <c r="C34" s="28" t="s">
        <v>88</v>
      </c>
      <c r="D34" s="29"/>
      <c r="E34" s="28" t="str">
        <f>+DirOficial&amp;"cl-ci_ias-23/cl-ci_ias-23_2015-03-11_role-836200.xsd"</f>
        <v>http://www.svs.cl/cl/fr/ci/2017-01-03/cl-ci_ias-23/cl-ci_ias-23_2015-03-11_role-836200.xsd</v>
      </c>
      <c r="F34" s="148" t="str">
        <f t="shared" si="0"/>
        <v>836200</v>
      </c>
      <c r="G34" s="148" t="str">
        <f t="shared" si="1"/>
        <v>836200</v>
      </c>
      <c r="H34" s="148" t="b">
        <f t="shared" si="2"/>
        <v>1</v>
      </c>
      <c r="I34" s="154" t="s">
        <v>752</v>
      </c>
      <c r="J34" s="149" t="str">
        <f>+DirOficial&amp;"cl-ci_ias-23/cl-ci_ias-23_2016-03-31_role-836200.xsd"</f>
        <v>http://www.svs.cl/cl/fr/ci/2017-01-03/cl-ci_ias-23/cl-ci_ias-23_2016-03-31_role-836200.xsd</v>
      </c>
      <c r="K34" s="149"/>
      <c r="L34" s="149"/>
      <c r="M34" s="149"/>
    </row>
    <row r="35" spans="2:13">
      <c r="B35" s="27" t="s">
        <v>27</v>
      </c>
      <c r="C35" s="28" t="s">
        <v>98</v>
      </c>
      <c r="D35" s="29"/>
      <c r="E35" s="28" t="str">
        <f>+DirOficial&amp;"cl-ci_ias-24/cl-ci_ias-24_2015-03-11_role-818000.xsd"</f>
        <v>http://www.svs.cl/cl/fr/ci/2017-01-03/cl-ci_ias-24/cl-ci_ias-24_2015-03-11_role-818000.xsd</v>
      </c>
      <c r="F35" s="148" t="str">
        <f t="shared" si="0"/>
        <v>818000</v>
      </c>
      <c r="G35" s="148" t="str">
        <f t="shared" si="1"/>
        <v>818000</v>
      </c>
      <c r="H35" s="148" t="b">
        <f t="shared" si="2"/>
        <v>1</v>
      </c>
      <c r="I35" s="154" t="s">
        <v>753</v>
      </c>
      <c r="J35" s="149" t="str">
        <f>+DirOficial&amp;"cl-ci_ias-24/cl-ci_ias-24_2016-03-31_role-818000.xsd"</f>
        <v>http://www.svs.cl/cl/fr/ci/2017-01-03/cl-ci_ias-24/cl-ci_ias-24_2016-03-31_role-818000.xsd</v>
      </c>
      <c r="K35" s="149"/>
      <c r="L35" s="149"/>
      <c r="M35" s="149"/>
    </row>
    <row r="36" spans="2:13">
      <c r="B36" s="27" t="s">
        <v>27</v>
      </c>
      <c r="C36" s="28" t="s">
        <v>102</v>
      </c>
      <c r="D36" s="29"/>
      <c r="E36" s="28" t="str">
        <f>+DirOficial&amp;"cl-ci_ias-33/cl-ci_ias-33_2015-03-11_role-838000.xsd"</f>
        <v>http://www.svs.cl/cl/fr/ci/2017-01-03/cl-ci_ias-33/cl-ci_ias-33_2015-03-11_role-838000.xsd</v>
      </c>
      <c r="F36" s="148" t="str">
        <f t="shared" si="0"/>
        <v>838000</v>
      </c>
      <c r="G36" s="148" t="str">
        <f t="shared" si="1"/>
        <v>838000</v>
      </c>
      <c r="H36" s="148" t="b">
        <f t="shared" si="2"/>
        <v>1</v>
      </c>
      <c r="I36" s="154" t="s">
        <v>754</v>
      </c>
      <c r="J36" s="149" t="str">
        <f>+DirOficial&amp;"cl-ci_ias-33/cl-ci_ias-33_2016-03-31_role-838000.xsd"</f>
        <v>http://www.svs.cl/cl/fr/ci/2017-01-03/cl-ci_ias-33/cl-ci_ias-33_2016-03-31_role-838000.xsd</v>
      </c>
      <c r="K36" s="149"/>
      <c r="L36" s="149"/>
      <c r="M36" s="149"/>
    </row>
    <row r="37" spans="2:13">
      <c r="B37" s="27" t="s">
        <v>27</v>
      </c>
      <c r="C37" s="28" t="s">
        <v>64</v>
      </c>
      <c r="D37" s="29"/>
      <c r="E37" s="28" t="str">
        <f>+DirOficial&amp;"cl-ci_ias-36/cl-ci_ias-36_2015-03-11_role-832410.xsd"</f>
        <v>http://www.svs.cl/cl/fr/ci/2017-01-03/cl-ci_ias-36/cl-ci_ias-36_2015-03-11_role-832410.xsd</v>
      </c>
      <c r="F37" s="148" t="str">
        <f t="shared" si="0"/>
        <v>832410</v>
      </c>
      <c r="G37" s="148" t="str">
        <f t="shared" si="1"/>
        <v>832410</v>
      </c>
      <c r="H37" s="148" t="b">
        <f t="shared" si="2"/>
        <v>1</v>
      </c>
      <c r="I37" s="154" t="s">
        <v>755</v>
      </c>
      <c r="J37" s="149" t="str">
        <f>+DirOficial&amp;"cl-ci_ias-36/cl-ci_ias-36_2016-03-31_role-832410.xsd"</f>
        <v>http://www.svs.cl/cl/fr/ci/2017-01-03/cl-ci_ias-36/cl-ci_ias-36_2016-03-31_role-832410.xsd</v>
      </c>
      <c r="K37" s="149"/>
      <c r="L37" s="149"/>
      <c r="M37" s="149"/>
    </row>
    <row r="38" spans="2:13">
      <c r="B38" s="27" t="s">
        <v>27</v>
      </c>
      <c r="C38" s="28" t="s">
        <v>79</v>
      </c>
      <c r="D38" s="29"/>
      <c r="E38" s="28" t="str">
        <f>+DirOficial&amp;"cl-ci_ias-37/cl-ci_ias-37_2015-03-11_role-827570.xsd"</f>
        <v>http://www.svs.cl/cl/fr/ci/2017-01-03/cl-ci_ias-37/cl-ci_ias-37_2015-03-11_role-827570.xsd</v>
      </c>
      <c r="F38" s="148" t="str">
        <f t="shared" si="0"/>
        <v>827570</v>
      </c>
      <c r="G38" s="148" t="str">
        <f t="shared" si="1"/>
        <v>827570</v>
      </c>
      <c r="H38" s="148" t="b">
        <f t="shared" si="2"/>
        <v>1</v>
      </c>
      <c r="I38" s="154" t="s">
        <v>756</v>
      </c>
      <c r="J38" s="149" t="str">
        <f>+DirOficial&amp;"cl-ci_ias-37/cl-ci_ias-37_2016-03-31_role-827570.xsd"</f>
        <v>http://www.svs.cl/cl/fr/ci/2017-01-03/cl-ci_ias-37/cl-ci_ias-37_2016-03-31_role-827570.xsd</v>
      </c>
      <c r="K38" s="149"/>
      <c r="L38" s="149"/>
      <c r="M38" s="149"/>
    </row>
    <row r="39" spans="2:13">
      <c r="B39" s="27" t="s">
        <v>27</v>
      </c>
      <c r="C39" s="28" t="s">
        <v>89</v>
      </c>
      <c r="D39" s="29"/>
      <c r="E39" s="28" t="str">
        <f>+DirOficial&amp;"cl-ci_ias-38/cl-ci_ias-38_2015-03-11_role-823180.xsd"</f>
        <v>http://www.svs.cl/cl/fr/ci/2017-01-03/cl-ci_ias-38/cl-ci_ias-38_2015-03-11_role-823180.xsd</v>
      </c>
      <c r="F39" s="148" t="str">
        <f t="shared" si="0"/>
        <v>823180</v>
      </c>
      <c r="G39" s="148" t="str">
        <f t="shared" si="1"/>
        <v>823180</v>
      </c>
      <c r="H39" s="148" t="b">
        <f t="shared" si="2"/>
        <v>1</v>
      </c>
      <c r="I39" s="154" t="s">
        <v>757</v>
      </c>
      <c r="J39" s="149" t="str">
        <f>+DirOficial&amp;"cl-ci_ias-38/cl-ci_ias-38_2016-03-31_role-823180.xsd"</f>
        <v>http://www.svs.cl/cl/fr/ci/2017-01-03/cl-ci_ias-38/cl-ci_ias-38_2016-03-31_role-823180.xsd</v>
      </c>
      <c r="K39" s="149"/>
      <c r="L39" s="149"/>
      <c r="M39" s="149"/>
    </row>
    <row r="40" spans="2:13">
      <c r="B40" s="27" t="s">
        <v>27</v>
      </c>
      <c r="C40" s="28" t="s">
        <v>97</v>
      </c>
      <c r="D40" s="29"/>
      <c r="E40" s="28" t="str">
        <f>+DirOficial&amp;"cl-ci_ias-40/cl-ci_ias-40_2015-03-11_role-825100.xsd"</f>
        <v>http://www.svs.cl/cl/fr/ci/2017-01-03/cl-ci_ias-40/cl-ci_ias-40_2015-03-11_role-825100.xsd</v>
      </c>
      <c r="F40" s="148" t="str">
        <f t="shared" si="0"/>
        <v>825100</v>
      </c>
      <c r="G40" s="148" t="str">
        <f t="shared" si="1"/>
        <v>825100</v>
      </c>
      <c r="H40" s="148" t="b">
        <f t="shared" si="2"/>
        <v>1</v>
      </c>
      <c r="I40" s="154" t="s">
        <v>758</v>
      </c>
      <c r="J40" s="149" t="str">
        <f>+DirOficial&amp;"cl-ci_ias-40/cl-ci_ias-40_2016-03-31_role-825100.xsd"</f>
        <v>http://www.svs.cl/cl/fr/ci/2017-01-03/cl-ci_ias-40/cl-ci_ias-40_2016-03-31_role-825100.xsd</v>
      </c>
      <c r="K40" s="149"/>
      <c r="L40" s="149"/>
      <c r="M40" s="149"/>
    </row>
    <row r="41" spans="2:13">
      <c r="B41" s="27" t="s">
        <v>27</v>
      </c>
      <c r="C41" s="28" t="s">
        <v>95</v>
      </c>
      <c r="D41" s="29"/>
      <c r="E41" s="28" t="str">
        <f>+DirOficial&amp;"cl-ci_ias-41/cl-ci_ias-41_2015-03-11_role-824180.xsd"</f>
        <v>http://www.svs.cl/cl/fr/ci/2017-01-03/cl-ci_ias-41/cl-ci_ias-41_2015-03-11_role-824180.xsd</v>
      </c>
      <c r="F41" s="148" t="str">
        <f t="shared" si="0"/>
        <v>824180</v>
      </c>
      <c r="G41" s="148" t="str">
        <f t="shared" si="1"/>
        <v>824180</v>
      </c>
      <c r="H41" s="148" t="b">
        <f t="shared" si="2"/>
        <v>1</v>
      </c>
      <c r="I41" s="154" t="s">
        <v>759</v>
      </c>
      <c r="J41" s="149" t="str">
        <f>+DirOficial&amp;"cl-ci_ias-41/cl-ci_ias-41_2016-03-31_role-824180.xsd"</f>
        <v>http://www.svs.cl/cl/fr/ci/2017-01-03/cl-ci_ias-41/cl-ci_ias-41_2016-03-31_role-824180.xsd</v>
      </c>
      <c r="K41" s="149"/>
      <c r="L41" s="149"/>
      <c r="M41" s="149"/>
    </row>
    <row r="42" spans="2:13">
      <c r="B42" s="27" t="s">
        <v>27</v>
      </c>
      <c r="C42" s="28" t="s">
        <v>65</v>
      </c>
      <c r="D42" s="29"/>
      <c r="E42" s="28" t="str">
        <f>+DirOficial&amp;"cl-ci_ias-7/cl-ci_ias-7_2015-03-11_role-851100.xsd"</f>
        <v>http://www.svs.cl/cl/fr/ci/2017-01-03/cl-ci_ias-7/cl-ci_ias-7_2015-03-11_role-851100.xsd</v>
      </c>
      <c r="F42" s="148" t="str">
        <f t="shared" si="0"/>
        <v>851100</v>
      </c>
      <c r="G42" s="148" t="str">
        <f t="shared" si="1"/>
        <v>851100</v>
      </c>
      <c r="H42" s="148" t="b">
        <f t="shared" si="2"/>
        <v>1</v>
      </c>
      <c r="I42" s="154" t="s">
        <v>760</v>
      </c>
      <c r="J42" s="149" t="str">
        <f>+DirOficial&amp;"cl-ci_ias-7/cl-ci_ias-7_2016-03-31_role-851100.xsd"</f>
        <v>http://www.svs.cl/cl/fr/ci/2017-01-03/cl-ci_ias-7/cl-ci_ias-7_2016-03-31_role-851100.xsd</v>
      </c>
      <c r="K42" s="149"/>
      <c r="L42" s="149"/>
      <c r="M42" s="149"/>
    </row>
    <row r="43" spans="2:13">
      <c r="B43" s="27" t="s">
        <v>27</v>
      </c>
      <c r="C43" s="28" t="s">
        <v>74</v>
      </c>
      <c r="D43" s="29"/>
      <c r="E43" s="28" t="str">
        <f>+DirOficial&amp;"cl-ci_ias-8/cl-ci_ias-8_2015-03-11_role-811000.xsd"</f>
        <v>http://www.svs.cl/cl/fr/ci/2017-01-03/cl-ci_ias-8/cl-ci_ias-8_2015-03-11_role-811000.xsd</v>
      </c>
      <c r="F43" s="148" t="str">
        <f t="shared" si="0"/>
        <v>811000</v>
      </c>
      <c r="G43" s="148" t="str">
        <f t="shared" si="1"/>
        <v>811000</v>
      </c>
      <c r="H43" s="148" t="b">
        <f t="shared" si="2"/>
        <v>1</v>
      </c>
      <c r="I43" s="154" t="s">
        <v>761</v>
      </c>
      <c r="J43" s="149" t="str">
        <f>+DirOficial&amp;"cl-ci_ias-8/cl-ci_ias-8_2016-03-31_role-811000.xsd"</f>
        <v>http://www.svs.cl/cl/fr/ci/2017-01-03/cl-ci_ias-8/cl-ci_ias-8_2016-03-31_role-811000.xsd</v>
      </c>
      <c r="K43" s="149"/>
      <c r="L43" s="149"/>
      <c r="M43" s="149"/>
    </row>
    <row r="44" spans="2:13">
      <c r="B44" s="27" t="s">
        <v>27</v>
      </c>
      <c r="C44" s="28" t="s">
        <v>75</v>
      </c>
      <c r="D44" s="29"/>
      <c r="E44" s="28" t="str">
        <f>+DirOficial&amp;"cl-ci_ifrs-12/cl-ci_ifrs-12_2015-03-11_role-825700.xsd"</f>
        <v>http://www.svs.cl/cl/fr/ci/2017-01-03/cl-ci_ifrs-12/cl-ci_ifrs-12_2015-03-11_role-825700.xsd</v>
      </c>
      <c r="F44" s="148" t="str">
        <f t="shared" si="0"/>
        <v>825700</v>
      </c>
      <c r="G44" s="148" t="str">
        <f t="shared" si="1"/>
        <v>825700</v>
      </c>
      <c r="H44" s="148" t="b">
        <f t="shared" si="2"/>
        <v>1</v>
      </c>
      <c r="I44" s="154" t="s">
        <v>762</v>
      </c>
      <c r="J44" s="149" t="str">
        <f>+DirOficial&amp;"cl-ci_ifrs-12/cl-ci_ifrs-12_2016-03-31_role-825700.xsd"</f>
        <v>http://www.svs.cl/cl/fr/ci/2017-01-03/cl-ci_ifrs-12/cl-ci_ifrs-12_2016-03-31_role-825700.xsd</v>
      </c>
      <c r="K44" s="149"/>
      <c r="L44" s="149"/>
      <c r="M44" s="149"/>
    </row>
    <row r="45" spans="2:13">
      <c r="B45" s="27" t="s">
        <v>27</v>
      </c>
      <c r="C45" s="28" t="s">
        <v>76</v>
      </c>
      <c r="D45" s="29"/>
      <c r="E45" s="28" t="str">
        <f>+DirOficial&amp;"cl-ci_ifrs-13/cl-ci_ifrs-13_2015-03-11_role-823000.xsd"</f>
        <v>http://www.svs.cl/cl/fr/ci/2017-01-03/cl-ci_ifrs-13/cl-ci_ifrs-13_2015-03-11_role-823000.xsd</v>
      </c>
      <c r="F45" s="148" t="str">
        <f t="shared" si="0"/>
        <v>823000</v>
      </c>
      <c r="G45" s="148" t="str">
        <f t="shared" si="1"/>
        <v>823000</v>
      </c>
      <c r="H45" s="148" t="b">
        <f t="shared" si="2"/>
        <v>1</v>
      </c>
      <c r="I45" s="154" t="s">
        <v>763</v>
      </c>
      <c r="J45" s="149" t="str">
        <f>+DirOficial&amp;"cl-ci_ifrs-13/cl-ci_ifrs-13_2016-03-31_role-823000.xsd"</f>
        <v>http://www.svs.cl/cl/fr/ci/2017-01-03/cl-ci_ifrs-13/cl-ci_ifrs-13_2016-03-31_role-823000.xsd</v>
      </c>
      <c r="K45" s="149"/>
      <c r="L45" s="149"/>
      <c r="M45" s="149"/>
    </row>
    <row r="46" spans="2:13">
      <c r="B46" s="27" t="s">
        <v>27</v>
      </c>
      <c r="C46" s="28" t="s">
        <v>109</v>
      </c>
      <c r="D46" s="29"/>
      <c r="E46" s="28" t="str">
        <f>+DirOficial&amp;"cl-ci_ifrs-14/cl-ci_ifrs-14_2015-03-11_role-824500.xsd"</f>
        <v>http://www.svs.cl/cl/fr/ci/2017-01-03/cl-ci_ifrs-14/cl-ci_ifrs-14_2015-03-11_role-824500.xsd</v>
      </c>
      <c r="F46" s="148" t="str">
        <f t="shared" si="0"/>
        <v>824500</v>
      </c>
      <c r="G46" s="148" t="str">
        <f t="shared" si="1"/>
        <v>824500</v>
      </c>
      <c r="H46" s="148" t="b">
        <f t="shared" si="2"/>
        <v>1</v>
      </c>
      <c r="I46" s="150" t="s">
        <v>717</v>
      </c>
      <c r="J46" s="151" t="str">
        <f>+DirOficial&amp;"cl-ci_ifrs-15/cl-ci_ifrs-15_2016-03-31_role-831150.xsd"</f>
        <v>http://www.svs.cl/cl/fr/ci/2017-01-03/cl-ci_ifrs-15/cl-ci_ifrs-15_2016-03-31_role-831150.xsd</v>
      </c>
      <c r="K46" s="149"/>
      <c r="L46" s="152"/>
      <c r="M46" s="149"/>
    </row>
    <row r="47" spans="2:13">
      <c r="B47" s="27" t="s">
        <v>27</v>
      </c>
      <c r="C47" s="28" t="s">
        <v>110</v>
      </c>
      <c r="D47" s="29"/>
      <c r="E47" s="28" t="str">
        <f>+DirOficial&amp;"cl-ci_ifrs-15/cl-ci_ifrs-15_2015-03-11_role-831150.xsd"</f>
        <v>http://www.svs.cl/cl/fr/ci/2017-01-03/cl-ci_ifrs-15/cl-ci_ifrs-15_2015-03-11_role-831150.xsd</v>
      </c>
      <c r="F47" s="148" t="str">
        <f t="shared" si="0"/>
        <v>831150</v>
      </c>
      <c r="G47" s="148" t="str">
        <f t="shared" si="1"/>
        <v>831150</v>
      </c>
      <c r="H47" s="148" t="b">
        <f t="shared" si="2"/>
        <v>1</v>
      </c>
      <c r="I47" s="154" t="s">
        <v>764</v>
      </c>
      <c r="J47" s="149" t="str">
        <f>+DirOficial&amp;"cl-ci_ifrs-16/cl-ci_ifrs-16_2016-03-31_role-832610.xsd"</f>
        <v>http://www.svs.cl/cl/fr/ci/2017-01-03/cl-ci_ifrs-16/cl-ci_ifrs-16_2016-03-31_role-832610.xsd</v>
      </c>
      <c r="K47" s="149"/>
      <c r="L47" s="149"/>
      <c r="M47" s="149"/>
    </row>
    <row r="48" spans="2:13">
      <c r="B48" s="153" t="s">
        <v>719</v>
      </c>
      <c r="C48" s="28"/>
      <c r="D48" s="153" t="s">
        <v>719</v>
      </c>
      <c r="E48" s="153" t="s">
        <v>719</v>
      </c>
      <c r="F48" s="148" t="str">
        <f t="shared" si="0"/>
        <v/>
      </c>
      <c r="G48" s="148" t="str">
        <f t="shared" si="1"/>
        <v>832610</v>
      </c>
      <c r="H48" s="148" t="b">
        <f t="shared" si="2"/>
        <v>0</v>
      </c>
      <c r="I48" s="154" t="s">
        <v>765</v>
      </c>
      <c r="J48" s="149" t="str">
        <f>+DirOficial&amp;"cl-ci_ifrs-2/cl-ci_ifrs-2_2016-03-31_role-834120.xsd"</f>
        <v>http://www.svs.cl/cl/fr/ci/2017-01-03/cl-ci_ifrs-2/cl-ci_ifrs-2_2016-03-31_role-834120.xsd</v>
      </c>
      <c r="K48" s="149"/>
      <c r="L48" s="149"/>
      <c r="M48" s="149"/>
    </row>
    <row r="49" spans="2:13">
      <c r="B49" s="27" t="s">
        <v>27</v>
      </c>
      <c r="C49" s="28" t="s">
        <v>77</v>
      </c>
      <c r="D49" s="29"/>
      <c r="E49" s="28" t="str">
        <f>+DirOficial&amp;"cl-ci_ifrs-2/cl-ci_ifrs-2_2015-03-11_role-834120.xsd"</f>
        <v>http://www.svs.cl/cl/fr/ci/2017-01-03/cl-ci_ifrs-2/cl-ci_ifrs-2_2015-03-11_role-834120.xsd</v>
      </c>
      <c r="F49" s="148" t="str">
        <f t="shared" si="0"/>
        <v>834120</v>
      </c>
      <c r="G49" s="148" t="str">
        <f t="shared" si="1"/>
        <v>834120</v>
      </c>
      <c r="H49" s="148" t="b">
        <f t="shared" si="2"/>
        <v>1</v>
      </c>
      <c r="I49" s="154" t="s">
        <v>766</v>
      </c>
      <c r="J49" s="149" t="str">
        <f>+DirOficial&amp;"cl-ci_ifrs-3/cl-ci_ifrs-3_2016-03-31_role-817000.xsd"</f>
        <v>http://www.svs.cl/cl/fr/ci/2017-01-03/cl-ci_ifrs-3/cl-ci_ifrs-3_2016-03-31_role-817000.xsd</v>
      </c>
      <c r="K49" s="149"/>
      <c r="L49" s="149"/>
      <c r="M49" s="149"/>
    </row>
    <row r="50" spans="2:13">
      <c r="B50" s="27" t="s">
        <v>27</v>
      </c>
      <c r="C50" s="28" t="s">
        <v>58</v>
      </c>
      <c r="D50" s="29"/>
      <c r="E50" s="28" t="str">
        <f>+DirOficial&amp;"cl-ci_ifrs-3/cl-ci_ifrs-3_2015-03-11_role-817000.xsd"</f>
        <v>http://www.svs.cl/cl/fr/ci/2017-01-03/cl-ci_ifrs-3/cl-ci_ifrs-3_2015-03-11_role-817000.xsd</v>
      </c>
      <c r="F50" s="148" t="str">
        <f t="shared" si="0"/>
        <v>817000</v>
      </c>
      <c r="G50" s="148" t="str">
        <f t="shared" si="1"/>
        <v>817000</v>
      </c>
      <c r="H50" s="148" t="b">
        <f t="shared" si="2"/>
        <v>1</v>
      </c>
      <c r="I50" s="154" t="s">
        <v>767</v>
      </c>
      <c r="J50" s="149" t="str">
        <f>+DirOficial&amp;"cl-ci_ifrs-3/cl-ci_ifrs-3_2016-03-31_role-817100.xsd"</f>
        <v>http://www.svs.cl/cl/fr/ci/2017-01-03/cl-ci_ifrs-3/cl-ci_ifrs-3_2016-03-31_role-817100.xsd</v>
      </c>
      <c r="K50" s="149"/>
      <c r="L50" s="149"/>
      <c r="M50" s="149"/>
    </row>
    <row r="51" spans="2:13">
      <c r="B51" s="27" t="s">
        <v>27</v>
      </c>
      <c r="C51" s="28" t="s">
        <v>90</v>
      </c>
      <c r="D51" s="29"/>
      <c r="E51" s="28" t="str">
        <f>+DirOficial&amp;"cl-ci_ifrs-3/cl-ci_ifrs-3_2015-03-11_role-817100.xsd"</f>
        <v>http://www.svs.cl/cl/fr/ci/2017-01-03/cl-ci_ifrs-3/cl-ci_ifrs-3_2015-03-11_role-817100.xsd</v>
      </c>
      <c r="F51" s="148" t="str">
        <f t="shared" si="0"/>
        <v>817100</v>
      </c>
      <c r="G51" s="148" t="str">
        <f t="shared" si="1"/>
        <v>817100</v>
      </c>
      <c r="H51" s="148" t="b">
        <f t="shared" si="2"/>
        <v>1</v>
      </c>
      <c r="I51" s="154" t="s">
        <v>768</v>
      </c>
      <c r="J51" s="149" t="str">
        <f>+DirOficial&amp;"cl-ci_ifrs-5/cl-ci_ifrs-5_2016-03-31_role-825900.xsd"</f>
        <v>http://www.svs.cl/cl/fr/ci/2017-01-03/cl-ci_ifrs-5/cl-ci_ifrs-5_2016-03-31_role-825900.xsd</v>
      </c>
      <c r="K51" s="149"/>
      <c r="L51" s="149"/>
      <c r="M51" s="149"/>
    </row>
    <row r="52" spans="2:13">
      <c r="B52" s="27" t="s">
        <v>27</v>
      </c>
      <c r="C52" s="30" t="s">
        <v>70</v>
      </c>
      <c r="D52" s="31"/>
      <c r="E52" s="31" t="str">
        <f>+DirOficial&amp;"cl-ci_ifrs-5/cl-ci_ifrs-5_2015-03-11_role-825900.xsd"</f>
        <v>http://www.svs.cl/cl/fr/ci/2017-01-03/cl-ci_ifrs-5/cl-ci_ifrs-5_2015-03-11_role-825900.xsd</v>
      </c>
      <c r="F52" s="148" t="str">
        <f t="shared" si="0"/>
        <v>825900</v>
      </c>
      <c r="G52" s="148" t="str">
        <f t="shared" si="1"/>
        <v>825900</v>
      </c>
      <c r="H52" s="148" t="b">
        <f t="shared" si="2"/>
        <v>1</v>
      </c>
      <c r="I52" s="154" t="s">
        <v>769</v>
      </c>
      <c r="J52" s="149" t="str">
        <f>+DirOficial&amp;"cl-ci_ifrs-6/cl-ci_ifrs-6_2016-03-31_role-822200.xsd"</f>
        <v>http://www.svs.cl/cl/fr/ci/2017-01-03/cl-ci_ifrs-6/cl-ci_ifrs-6_2016-03-31_role-822200.xsd</v>
      </c>
      <c r="K52" s="149"/>
      <c r="L52" s="149"/>
      <c r="M52" s="149"/>
    </row>
    <row r="53" spans="2:13">
      <c r="B53" s="27" t="s">
        <v>27</v>
      </c>
      <c r="C53" s="28" t="s">
        <v>81</v>
      </c>
      <c r="D53" s="29"/>
      <c r="E53" s="28" t="str">
        <f>+DirOficial&amp;"cl-ci_ifrs-6/cl-ci_ifrs-6_2015-03-11_role-822200.xsd"</f>
        <v>http://www.svs.cl/cl/fr/ci/2017-01-03/cl-ci_ifrs-6/cl-ci_ifrs-6_2015-03-11_role-822200.xsd</v>
      </c>
      <c r="F53" s="148" t="str">
        <f t="shared" si="0"/>
        <v>822200</v>
      </c>
      <c r="G53" s="148" t="str">
        <f t="shared" si="1"/>
        <v>822200</v>
      </c>
      <c r="H53" s="148" t="b">
        <f t="shared" si="2"/>
        <v>1</v>
      </c>
      <c r="I53" s="154" t="s">
        <v>770</v>
      </c>
      <c r="J53" s="149" t="str">
        <f>+DirOficial&amp;"cl-ci_ifrs-8/cl-ci_ifrs-8_2016-03-31_role-871100.xsd"</f>
        <v>http://www.svs.cl/cl/fr/ci/2017-01-03/cl-ci_ifrs-8/cl-ci_ifrs-8_2016-03-31_role-871100.xsd</v>
      </c>
      <c r="K53" s="149"/>
      <c r="L53" s="149"/>
      <c r="M53" s="149"/>
    </row>
    <row r="54" spans="2:13">
      <c r="B54" s="27" t="s">
        <v>27</v>
      </c>
      <c r="C54" s="28" t="s">
        <v>103</v>
      </c>
      <c r="D54" s="29"/>
      <c r="E54" s="28" t="str">
        <f>+DirOficial&amp;"cl-ci_ifrs-8/cl-ci_ifrs-8_2015-03-11_role-871100.xsd"</f>
        <v>http://www.svs.cl/cl/fr/ci/2017-01-03/cl-ci_ifrs-8/cl-ci_ifrs-8_2015-03-11_role-871100.xsd</v>
      </c>
      <c r="F54" s="148" t="str">
        <f t="shared" si="0"/>
        <v>871100</v>
      </c>
      <c r="G54" s="148" t="str">
        <f t="shared" si="1"/>
        <v>871100</v>
      </c>
      <c r="H54" s="148" t="b">
        <f t="shared" si="2"/>
        <v>1</v>
      </c>
      <c r="I54" s="154" t="s">
        <v>771</v>
      </c>
      <c r="J54" s="149" t="str">
        <f>+DirOficial&amp;"cl-ci_sic-27/cl-ci_sic-27_2016-03-31_role-832800.xsd"</f>
        <v>http://www.svs.cl/cl/fr/ci/2017-01-03/cl-ci_sic-27/cl-ci_sic-27_2016-03-31_role-832800.xsd</v>
      </c>
      <c r="K54" s="149"/>
      <c r="L54" s="149"/>
      <c r="M54" s="149"/>
    </row>
    <row r="55" spans="2:13">
      <c r="B55" s="27" t="s">
        <v>27</v>
      </c>
      <c r="C55" s="28" t="s">
        <v>84</v>
      </c>
      <c r="D55" s="29"/>
      <c r="E55" s="28" t="str">
        <f>+DirOficial&amp;"cl-ci_sic-27/cl-ci_sic-27_2015-03-11_role-832800.xsd"</f>
        <v>http://www.svs.cl/cl/fr/ci/2017-01-03/cl-ci_sic-27/cl-ci_sic-27_2015-03-11_role-832800.xsd</v>
      </c>
      <c r="F55" s="148" t="str">
        <f t="shared" si="0"/>
        <v>832800</v>
      </c>
      <c r="G55" s="148" t="str">
        <f t="shared" si="1"/>
        <v>832800</v>
      </c>
      <c r="H55" s="148" t="b">
        <f t="shared" si="2"/>
        <v>1</v>
      </c>
      <c r="I55" s="154" t="s">
        <v>722</v>
      </c>
      <c r="J55" s="149" t="str">
        <f>+DirOficial&amp;"cl-ci_sic-29/cl-ci_sic-29_2016-03-31_role-832900.xsd"</f>
        <v>http://www.svs.cl/cl/fr/ci/2017-01-03/cl-ci_sic-29/cl-ci_sic-29_2016-03-31_role-832900.xsd</v>
      </c>
      <c r="K55" s="149"/>
      <c r="L55" s="149"/>
      <c r="M55" s="149"/>
    </row>
    <row r="56" spans="2:13">
      <c r="B56" s="27" t="s">
        <v>27</v>
      </c>
      <c r="C56" s="28" t="s">
        <v>67</v>
      </c>
      <c r="D56" s="29"/>
      <c r="E56" s="28" t="str">
        <f>+DirOficial&amp;"cl-ci_sic-29/cl-ci_sic-29_2015-03-11_role-832900.xsd"</f>
        <v>http://www.svs.cl/cl/fr/ci/2017-01-03/cl-ci_sic-29/cl-ci_sic-29_2015-03-11_role-832900.xsd</v>
      </c>
      <c r="F56" s="148" t="str">
        <f t="shared" si="0"/>
        <v>832900</v>
      </c>
      <c r="G56" s="148" t="str">
        <f t="shared" si="1"/>
        <v>832900</v>
      </c>
      <c r="H56" s="148" t="b">
        <f t="shared" si="2"/>
        <v>1</v>
      </c>
      <c r="I56" s="154" t="s">
        <v>721</v>
      </c>
      <c r="J56" s="149" t="str">
        <f>+DirOficial&amp;"dimensiones/full_ifrs-dim_2016-03-31.xsd"</f>
        <v>http://www.svs.cl/cl/fr/ci/2017-01-03/dimensiones/full_ifrs-dim_2016-03-31.xsd</v>
      </c>
      <c r="K56" s="149"/>
      <c r="L56" s="149"/>
      <c r="M56" s="149"/>
    </row>
    <row r="57" spans="2:13">
      <c r="B57" s="27" t="s">
        <v>27</v>
      </c>
      <c r="C57" s="28" t="s">
        <v>104</v>
      </c>
      <c r="D57" s="29"/>
      <c r="E57" s="28" t="str">
        <f>+DirOficial&amp;"dimensiones/full_ifrs-dim_2015-03-11.xsd"</f>
        <v>http://www.svs.cl/cl/fr/ci/2017-01-03/dimensiones/full_ifrs-dim_2015-03-11.xsd</v>
      </c>
      <c r="F57" s="148" t="str">
        <f t="shared" si="0"/>
        <v>-03-11</v>
      </c>
      <c r="G57" s="148" t="str">
        <f t="shared" si="1"/>
        <v>-03-31</v>
      </c>
      <c r="H57" s="148" t="b">
        <f t="shared" si="2"/>
        <v>0</v>
      </c>
      <c r="I57" s="154" t="s">
        <v>720</v>
      </c>
      <c r="J57" s="149" t="str">
        <f>+DirOficial&amp;"cl-ci_mc/cl-ci_mc_2016-03-31_role-105000.xsd"</f>
        <v>http://www.svs.cl/cl/fr/ci/2017-01-03/cl-ci_mc/cl-ci_mc_2016-03-31_role-105000.xsd</v>
      </c>
      <c r="K57" s="149"/>
      <c r="L57" s="149"/>
    </row>
    <row r="58" spans="2:13">
      <c r="B58" s="27" t="s">
        <v>27</v>
      </c>
      <c r="C58" s="28" t="s">
        <v>105</v>
      </c>
      <c r="D58" s="32"/>
      <c r="E58" s="28" t="str">
        <f>+DirOficial&amp;"cl-ci_mc/cl-ci_mc_2015-03-11_role-105000.xsd"</f>
        <v>http://www.svs.cl/cl/fr/ci/2017-01-03/cl-ci_mc/cl-ci_mc_2015-03-11_role-105000.xsd</v>
      </c>
      <c r="F58" s="148" t="str">
        <f t="shared" si="0"/>
        <v>105000</v>
      </c>
      <c r="G58" s="148" t="str">
        <f t="shared" si="1"/>
        <v>105000</v>
      </c>
      <c r="H58" s="148" t="b">
        <f t="shared" si="2"/>
        <v>1</v>
      </c>
      <c r="I58" s="154" t="s">
        <v>715</v>
      </c>
      <c r="J58" s="149" t="s">
        <v>716</v>
      </c>
      <c r="K58" s="149"/>
      <c r="L58" s="149"/>
      <c r="M58" s="149"/>
    </row>
    <row r="59" spans="2:13">
      <c r="G59" s="148" t="str">
        <f t="shared" ref="G59" si="3">RIGHT(I59,6)</f>
        <v/>
      </c>
      <c r="M59" s="152"/>
    </row>
    <row r="60" spans="2:13">
      <c r="I60" t="s">
        <v>718</v>
      </c>
    </row>
  </sheetData>
  <sortState ref="I2:M55">
    <sortCondition ref="I2:I55"/>
  </sortState>
  <hyperlinks>
    <hyperlink ref="C52" r:id="rId1" display="http://www.svs.cl/cl/fr/ci/2008-10-31/cl-ci_ias-7_2006-11-01_role-520000"/>
    <hyperlink ref="I58" r:id="rId2"/>
    <hyperlink ref="I57" r:id="rId3"/>
    <hyperlink ref="I56" r:id="rId4"/>
    <hyperlink ref="I55" r:id="rId5"/>
    <hyperlink ref="I5" r:id="rId6"/>
    <hyperlink ref="I6" r:id="rId7"/>
    <hyperlink ref="I7" r:id="rId8"/>
    <hyperlink ref="I8" r:id="rId9"/>
    <hyperlink ref="I9" r:id="rId10"/>
    <hyperlink ref="I10" r:id="rId11"/>
    <hyperlink ref="I11" r:id="rId12"/>
    <hyperlink ref="I12" r:id="rId13"/>
    <hyperlink ref="I13" r:id="rId14"/>
    <hyperlink ref="I14" r:id="rId15"/>
    <hyperlink ref="I15" r:id="rId16"/>
    <hyperlink ref="I16" r:id="rId17"/>
    <hyperlink ref="I17" r:id="rId18"/>
    <hyperlink ref="I18" r:id="rId19"/>
    <hyperlink ref="I19" r:id="rId20"/>
    <hyperlink ref="I20" r:id="rId21"/>
    <hyperlink ref="I21" r:id="rId22"/>
    <hyperlink ref="I22" r:id="rId23"/>
    <hyperlink ref="I23" r:id="rId24"/>
    <hyperlink ref="I24" r:id="rId25"/>
    <hyperlink ref="I25" r:id="rId26"/>
    <hyperlink ref="I26" r:id="rId27"/>
    <hyperlink ref="I27" r:id="rId28"/>
    <hyperlink ref="I28" r:id="rId29"/>
    <hyperlink ref="I29" r:id="rId30"/>
    <hyperlink ref="I30" r:id="rId31"/>
    <hyperlink ref="I31" r:id="rId32"/>
    <hyperlink ref="I32" r:id="rId33"/>
    <hyperlink ref="I33" r:id="rId34"/>
    <hyperlink ref="I34" r:id="rId35"/>
    <hyperlink ref="I35" r:id="rId36"/>
    <hyperlink ref="I36" r:id="rId37"/>
    <hyperlink ref="I37" r:id="rId38"/>
    <hyperlink ref="I38" r:id="rId39"/>
    <hyperlink ref="I39" r:id="rId40"/>
    <hyperlink ref="I40" r:id="rId41"/>
    <hyperlink ref="I41" r:id="rId42"/>
    <hyperlink ref="I42" r:id="rId43"/>
    <hyperlink ref="I43" r:id="rId44"/>
    <hyperlink ref="I44" r:id="rId45"/>
    <hyperlink ref="I45" r:id="rId46"/>
    <hyperlink ref="I47" r:id="rId47"/>
    <hyperlink ref="I48" r:id="rId48"/>
    <hyperlink ref="I49" r:id="rId49"/>
    <hyperlink ref="I50" r:id="rId50"/>
    <hyperlink ref="I51" r:id="rId51"/>
    <hyperlink ref="I52" r:id="rId52"/>
    <hyperlink ref="I53" r:id="rId53"/>
    <hyperlink ref="I54" r:id="rId54"/>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1</vt:i4>
      </vt:variant>
    </vt:vector>
  </HeadingPairs>
  <TitlesOfParts>
    <vt:vector size="8" baseType="lpstr">
      <vt:lpstr>Copyright</vt:lpstr>
      <vt:lpstr>dts</vt:lpstr>
      <vt:lpstr>Est_Sit_Fin_Clas</vt:lpstr>
      <vt:lpstr>Est_Res_Funcion</vt:lpstr>
      <vt:lpstr>Est_Flujo_Directo</vt:lpstr>
      <vt:lpstr>Elementos</vt:lpstr>
      <vt:lpstr>Hoja1</vt:lpstr>
      <vt:lpstr>DirOficial</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2017-01-23T19:23:06Z</dcterms:modified>
</cp:coreProperties>
</file>