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75" windowWidth="15195" windowHeight="8385"/>
  </bookViews>
  <sheets>
    <sheet name="Hoja1" sheetId="1" r:id="rId1"/>
    <sheet name="Hoja2" sheetId="3" r:id="rId2"/>
  </sheets>
  <definedNames>
    <definedName name="_xlnm._FilterDatabase" localSheetId="0" hidden="1">Hoja1!$L$374:$M$484</definedName>
    <definedName name="_xlnm.Print_Area" localSheetId="0">Hoja1!$A$238:$J$255</definedName>
  </definedNames>
  <calcPr calcId="145621"/>
</workbook>
</file>

<file path=xl/calcChain.xml><?xml version="1.0" encoding="utf-8"?>
<calcChain xmlns="http://schemas.openxmlformats.org/spreadsheetml/2006/main">
  <c r="I355" i="1" l="1"/>
  <c r="I354" i="1" l="1"/>
  <c r="I353" i="1"/>
  <c r="I352" i="1"/>
  <c r="I351" i="1"/>
  <c r="I350" i="1"/>
  <c r="I349" i="1"/>
  <c r="I348" i="1"/>
  <c r="I347" i="1"/>
  <c r="I346" i="1"/>
  <c r="I345" i="1"/>
  <c r="I344" i="1"/>
  <c r="J356" i="1" l="1"/>
  <c r="H356" i="1"/>
  <c r="G356" i="1"/>
  <c r="F356" i="1"/>
  <c r="E356" i="1"/>
  <c r="D356" i="1"/>
  <c r="C356" i="1"/>
  <c r="B356" i="1"/>
  <c r="I356" i="1"/>
  <c r="B341" i="1"/>
  <c r="B25" i="1" s="1"/>
  <c r="C341" i="1"/>
  <c r="C25" i="1" s="1"/>
  <c r="D341" i="1"/>
  <c r="D25" i="1" s="1"/>
  <c r="E341" i="1"/>
  <c r="E25" i="1" s="1"/>
  <c r="F341" i="1"/>
  <c r="F25" i="1" s="1"/>
  <c r="G341" i="1"/>
  <c r="G25" i="1" s="1"/>
  <c r="H341" i="1"/>
  <c r="H25" i="1" s="1"/>
  <c r="J341" i="1"/>
  <c r="J25" i="1" s="1"/>
  <c r="I340" i="1" l="1"/>
  <c r="I338" i="1" l="1"/>
  <c r="I339" i="1" l="1"/>
  <c r="I337" i="1" l="1"/>
  <c r="I336" i="1" l="1"/>
  <c r="I335" i="1"/>
  <c r="I330" i="1" l="1"/>
  <c r="I331" i="1"/>
  <c r="I332" i="1"/>
  <c r="I333" i="1"/>
  <c r="I334" i="1"/>
  <c r="I329" i="1"/>
  <c r="J326" i="1"/>
  <c r="J24" i="1" s="1"/>
  <c r="H326" i="1"/>
  <c r="H24" i="1" s="1"/>
  <c r="G326" i="1"/>
  <c r="G24" i="1" s="1"/>
  <c r="F326" i="1"/>
  <c r="F24" i="1" s="1"/>
  <c r="E326" i="1"/>
  <c r="E24" i="1" s="1"/>
  <c r="D326" i="1"/>
  <c r="D24" i="1" s="1"/>
  <c r="C326" i="1"/>
  <c r="C24" i="1" s="1"/>
  <c r="B326" i="1"/>
  <c r="B24" i="1" s="1"/>
  <c r="I325" i="1"/>
  <c r="I324" i="1"/>
  <c r="I323" i="1"/>
  <c r="I322" i="1"/>
  <c r="I321" i="1"/>
  <c r="I320" i="1"/>
  <c r="F281" i="1"/>
  <c r="F21" i="1" s="1"/>
  <c r="F311" i="1"/>
  <c r="F23" i="1" s="1"/>
  <c r="I317" i="1"/>
  <c r="I318" i="1"/>
  <c r="I319" i="1"/>
  <c r="I316" i="1"/>
  <c r="I314" i="1"/>
  <c r="I315" i="1"/>
  <c r="I310" i="1"/>
  <c r="H311" i="1"/>
  <c r="H23" i="1" s="1"/>
  <c r="G311" i="1"/>
  <c r="G23" i="1" s="1"/>
  <c r="B311" i="1"/>
  <c r="B23" i="1" s="1"/>
  <c r="D311" i="1"/>
  <c r="D23" i="1" s="1"/>
  <c r="D296" i="1"/>
  <c r="D22" i="1" s="1"/>
  <c r="J311" i="1"/>
  <c r="J23" i="1" s="1"/>
  <c r="E311" i="1"/>
  <c r="E23" i="1" s="1"/>
  <c r="C311" i="1"/>
  <c r="C23" i="1" s="1"/>
  <c r="B296" i="1"/>
  <c r="B22" i="1" s="1"/>
  <c r="I309" i="1"/>
  <c r="I308" i="1"/>
  <c r="I307" i="1"/>
  <c r="I306" i="1"/>
  <c r="I305" i="1"/>
  <c r="I304" i="1"/>
  <c r="I303" i="1"/>
  <c r="I302" i="1"/>
  <c r="I301" i="1"/>
  <c r="I300" i="1"/>
  <c r="I299" i="1"/>
  <c r="I295" i="1"/>
  <c r="I294" i="1"/>
  <c r="I293" i="1"/>
  <c r="I292" i="1"/>
  <c r="I291" i="1"/>
  <c r="I290" i="1"/>
  <c r="C281" i="1"/>
  <c r="C21" i="1" s="1"/>
  <c r="C296" i="1"/>
  <c r="C22" i="1" s="1"/>
  <c r="E281" i="1"/>
  <c r="E21" i="1" s="1"/>
  <c r="F296" i="1"/>
  <c r="F22" i="1" s="1"/>
  <c r="G296" i="1"/>
  <c r="G22" i="1" s="1"/>
  <c r="H296" i="1"/>
  <c r="H22" i="1" s="1"/>
  <c r="H281" i="1"/>
  <c r="H21" i="1" s="1"/>
  <c r="I285" i="1"/>
  <c r="I286" i="1"/>
  <c r="I287" i="1"/>
  <c r="I288" i="1"/>
  <c r="I289" i="1"/>
  <c r="I284" i="1"/>
  <c r="I279" i="1"/>
  <c r="I280" i="1"/>
  <c r="I278" i="1"/>
  <c r="J296" i="1"/>
  <c r="J22" i="1" s="1"/>
  <c r="E296" i="1"/>
  <c r="E22" i="1" s="1"/>
  <c r="D281" i="1"/>
  <c r="D21" i="1" s="1"/>
  <c r="J281" i="1"/>
  <c r="J21" i="1" s="1"/>
  <c r="G281" i="1"/>
  <c r="G21" i="1" s="1"/>
  <c r="B281" i="1"/>
  <c r="B21" i="1" s="1"/>
  <c r="B266" i="1"/>
  <c r="B20" i="1" s="1"/>
  <c r="I277" i="1"/>
  <c r="I276" i="1"/>
  <c r="I275" i="1"/>
  <c r="I274" i="1"/>
  <c r="I273" i="1"/>
  <c r="I272" i="1"/>
  <c r="I271" i="1"/>
  <c r="I270" i="1"/>
  <c r="I269" i="1"/>
  <c r="H266" i="1"/>
  <c r="H20" i="1" s="1"/>
  <c r="I265" i="1"/>
  <c r="I264" i="1"/>
  <c r="I262" i="1"/>
  <c r="I263" i="1"/>
  <c r="I261" i="1"/>
  <c r="I260" i="1"/>
  <c r="I259" i="1"/>
  <c r="I258" i="1"/>
  <c r="J266" i="1"/>
  <c r="J20" i="1" s="1"/>
  <c r="I254" i="1"/>
  <c r="I255" i="1"/>
  <c r="I256" i="1"/>
  <c r="I257" i="1"/>
  <c r="G266" i="1"/>
  <c r="G20" i="1" s="1"/>
  <c r="F266" i="1"/>
  <c r="F20" i="1" s="1"/>
  <c r="E266" i="1"/>
  <c r="E20" i="1" s="1"/>
  <c r="D266" i="1"/>
  <c r="D20" i="1" s="1"/>
  <c r="C266" i="1"/>
  <c r="C20" i="1" s="1"/>
  <c r="I250" i="1"/>
  <c r="I249" i="1"/>
  <c r="I248" i="1"/>
  <c r="I247" i="1"/>
  <c r="I246" i="1"/>
  <c r="I245" i="1"/>
  <c r="I244" i="1"/>
  <c r="I243" i="1"/>
  <c r="I242" i="1"/>
  <c r="I241" i="1"/>
  <c r="I240" i="1"/>
  <c r="C236" i="1"/>
  <c r="C18" i="1" s="1"/>
  <c r="D236" i="1"/>
  <c r="D18" i="1" s="1"/>
  <c r="E236" i="1"/>
  <c r="E18" i="1" s="1"/>
  <c r="F236" i="1"/>
  <c r="F18" i="1" s="1"/>
  <c r="G236" i="1"/>
  <c r="G18" i="1" s="1"/>
  <c r="H236" i="1"/>
  <c r="H18" i="1" s="1"/>
  <c r="I234" i="1"/>
  <c r="I235" i="1"/>
  <c r="J236" i="1"/>
  <c r="J18" i="1" s="1"/>
  <c r="B236" i="1"/>
  <c r="B18" i="1" s="1"/>
  <c r="I239" i="1"/>
  <c r="J251" i="1"/>
  <c r="J19" i="1" s="1"/>
  <c r="H251" i="1"/>
  <c r="H19" i="1" s="1"/>
  <c r="G251" i="1"/>
  <c r="G19" i="1" s="1"/>
  <c r="F251" i="1"/>
  <c r="F19" i="1" s="1"/>
  <c r="E251" i="1"/>
  <c r="E19" i="1" s="1"/>
  <c r="D251" i="1"/>
  <c r="D19" i="1" s="1"/>
  <c r="C251" i="1"/>
  <c r="C19" i="1" s="1"/>
  <c r="B251" i="1"/>
  <c r="B19" i="1" s="1"/>
  <c r="B221" i="1"/>
  <c r="B17" i="1" s="1"/>
  <c r="G217" i="1"/>
  <c r="I191" i="1"/>
  <c r="I15" i="1" s="1"/>
  <c r="I176" i="1"/>
  <c r="I14" i="1" s="1"/>
  <c r="I161" i="1"/>
  <c r="I13" i="1" s="1"/>
  <c r="F216" i="1"/>
  <c r="C221" i="1"/>
  <c r="C17" i="1" s="1"/>
  <c r="D209" i="1"/>
  <c r="D210" i="1"/>
  <c r="D211" i="1"/>
  <c r="D212" i="1"/>
  <c r="D213" i="1"/>
  <c r="D214" i="1"/>
  <c r="D215" i="1"/>
  <c r="D216" i="1"/>
  <c r="E209" i="1"/>
  <c r="E210" i="1"/>
  <c r="E211" i="1"/>
  <c r="E212" i="1"/>
  <c r="E213" i="1"/>
  <c r="E215" i="1"/>
  <c r="E216" i="1"/>
  <c r="F209" i="1"/>
  <c r="F210" i="1"/>
  <c r="F211" i="1"/>
  <c r="F212" i="1"/>
  <c r="F213" i="1"/>
  <c r="F214" i="1"/>
  <c r="F215" i="1"/>
  <c r="G209" i="1"/>
  <c r="G210" i="1"/>
  <c r="G211" i="1"/>
  <c r="G212" i="1"/>
  <c r="G213" i="1"/>
  <c r="G214" i="1"/>
  <c r="G215" i="1"/>
  <c r="G216" i="1"/>
  <c r="H221" i="1"/>
  <c r="H17" i="1" s="1"/>
  <c r="I221" i="1"/>
  <c r="I17" i="1" s="1"/>
  <c r="J221" i="1"/>
  <c r="J17" i="1" s="1"/>
  <c r="E41" i="1"/>
  <c r="E5" i="1" s="1"/>
  <c r="F41" i="1"/>
  <c r="E56" i="1"/>
  <c r="F56" i="1"/>
  <c r="E71" i="1"/>
  <c r="E7" i="1" s="1"/>
  <c r="F71" i="1"/>
  <c r="E86" i="1"/>
  <c r="F86" i="1"/>
  <c r="E101" i="1"/>
  <c r="E9" i="1" s="1"/>
  <c r="F101" i="1"/>
  <c r="J206" i="1"/>
  <c r="D194" i="1"/>
  <c r="D195" i="1"/>
  <c r="D196" i="1"/>
  <c r="D197" i="1"/>
  <c r="D198" i="1"/>
  <c r="D199" i="1"/>
  <c r="D200" i="1"/>
  <c r="D201" i="1"/>
  <c r="D202" i="1"/>
  <c r="D203" i="1"/>
  <c r="D204" i="1"/>
  <c r="D205" i="1"/>
  <c r="I206" i="1"/>
  <c r="H206" i="1"/>
  <c r="H16" i="1" s="1"/>
  <c r="G194" i="1"/>
  <c r="G195" i="1"/>
  <c r="G196" i="1"/>
  <c r="G197" i="1"/>
  <c r="G198" i="1"/>
  <c r="G199" i="1"/>
  <c r="G200" i="1"/>
  <c r="G201" i="1"/>
  <c r="G202" i="1"/>
  <c r="G203" i="1"/>
  <c r="G204" i="1"/>
  <c r="G205" i="1"/>
  <c r="F194" i="1"/>
  <c r="F195" i="1"/>
  <c r="F196" i="1"/>
  <c r="F197" i="1"/>
  <c r="F198" i="1"/>
  <c r="F199" i="1"/>
  <c r="F200" i="1"/>
  <c r="F201" i="1"/>
  <c r="F202" i="1"/>
  <c r="F203" i="1"/>
  <c r="F204" i="1"/>
  <c r="F205" i="1"/>
  <c r="E195" i="1"/>
  <c r="E196" i="1"/>
  <c r="E197" i="1"/>
  <c r="E198" i="1"/>
  <c r="E199" i="1"/>
  <c r="E200" i="1"/>
  <c r="E201" i="1"/>
  <c r="E202" i="1"/>
  <c r="E203" i="1"/>
  <c r="E205" i="1"/>
  <c r="C206" i="1"/>
  <c r="B206" i="1"/>
  <c r="B16" i="1" s="1"/>
  <c r="J191" i="1"/>
  <c r="J15" i="1" s="1"/>
  <c r="H191" i="1"/>
  <c r="G191" i="1"/>
  <c r="F179" i="1"/>
  <c r="F180" i="1"/>
  <c r="F181" i="1"/>
  <c r="F182" i="1"/>
  <c r="E183" i="1"/>
  <c r="F183" i="1" s="1"/>
  <c r="E184" i="1"/>
  <c r="F184" i="1" s="1"/>
  <c r="F186" i="1"/>
  <c r="E186" i="1" s="1"/>
  <c r="F190" i="1"/>
  <c r="E180" i="1"/>
  <c r="E182" i="1"/>
  <c r="E187" i="1"/>
  <c r="D191" i="1"/>
  <c r="D15" i="1" s="1"/>
  <c r="C191" i="1"/>
  <c r="C15" i="1" s="1"/>
  <c r="B191" i="1"/>
  <c r="B15" i="1" s="1"/>
  <c r="J176" i="1"/>
  <c r="H176" i="1"/>
  <c r="H14" i="1" s="1"/>
  <c r="G176" i="1"/>
  <c r="F165" i="1"/>
  <c r="F167" i="1"/>
  <c r="F169" i="1"/>
  <c r="F170" i="1"/>
  <c r="F171" i="1"/>
  <c r="F172" i="1"/>
  <c r="F173" i="1"/>
  <c r="F174" i="1"/>
  <c r="F175" i="1"/>
  <c r="E167" i="1"/>
  <c r="E169" i="1"/>
  <c r="E170" i="1"/>
  <c r="E171" i="1"/>
  <c r="E173" i="1"/>
  <c r="E175" i="1"/>
  <c r="D176" i="1"/>
  <c r="D14" i="1" s="1"/>
  <c r="C176" i="1"/>
  <c r="C14" i="1" s="1"/>
  <c r="B176" i="1"/>
  <c r="J161" i="1"/>
  <c r="H161" i="1"/>
  <c r="H13" i="1" s="1"/>
  <c r="G161" i="1"/>
  <c r="G13" i="1" s="1"/>
  <c r="E152" i="1"/>
  <c r="E153" i="1"/>
  <c r="F153" i="1" s="1"/>
  <c r="E154" i="1"/>
  <c r="F154" i="1" s="1"/>
  <c r="F157" i="1"/>
  <c r="D161" i="1"/>
  <c r="D13" i="1" s="1"/>
  <c r="C161" i="1"/>
  <c r="B161" i="1"/>
  <c r="B13" i="1" s="1"/>
  <c r="J146" i="1"/>
  <c r="I146" i="1"/>
  <c r="I12" i="1" s="1"/>
  <c r="H146" i="1"/>
  <c r="H12" i="1" s="1"/>
  <c r="G146" i="1"/>
  <c r="G12" i="1" s="1"/>
  <c r="F146" i="1"/>
  <c r="F12" i="1" s="1"/>
  <c r="E146" i="1"/>
  <c r="E12" i="1" s="1"/>
  <c r="D146" i="1"/>
  <c r="C146" i="1"/>
  <c r="B146" i="1"/>
  <c r="J131" i="1"/>
  <c r="I131" i="1"/>
  <c r="H131" i="1"/>
  <c r="G131" i="1"/>
  <c r="F131" i="1"/>
  <c r="F11" i="1" s="1"/>
  <c r="E131" i="1"/>
  <c r="E11" i="1" s="1"/>
  <c r="D131" i="1"/>
  <c r="C131" i="1"/>
  <c r="B131" i="1"/>
  <c r="J116" i="1"/>
  <c r="I116" i="1"/>
  <c r="H116" i="1"/>
  <c r="G116" i="1"/>
  <c r="F116" i="1"/>
  <c r="F10" i="1" s="1"/>
  <c r="E116" i="1"/>
  <c r="E10" i="1" s="1"/>
  <c r="D116" i="1"/>
  <c r="C116" i="1"/>
  <c r="B116" i="1"/>
  <c r="J16" i="1"/>
  <c r="I16" i="1"/>
  <c r="C16" i="1"/>
  <c r="H15" i="1"/>
  <c r="G15" i="1"/>
  <c r="J14" i="1"/>
  <c r="G14" i="1"/>
  <c r="B14" i="1"/>
  <c r="J13" i="1"/>
  <c r="C13" i="1"/>
  <c r="J12" i="1"/>
  <c r="D12" i="1"/>
  <c r="C12" i="1"/>
  <c r="F9" i="1"/>
  <c r="F8" i="1"/>
  <c r="E8" i="1"/>
  <c r="F7" i="1"/>
  <c r="F6" i="1"/>
  <c r="E6" i="1"/>
  <c r="F5" i="1"/>
  <c r="F221" i="1" l="1"/>
  <c r="F17" i="1" s="1"/>
  <c r="E176" i="1"/>
  <c r="E14" i="1" s="1"/>
  <c r="I341" i="1"/>
  <c r="I25" i="1" s="1"/>
  <c r="I266" i="1"/>
  <c r="I20" i="1" s="1"/>
  <c r="E191" i="1"/>
  <c r="E15" i="1" s="1"/>
  <c r="E206" i="1"/>
  <c r="E16" i="1" s="1"/>
  <c r="I281" i="1"/>
  <c r="I21" i="1" s="1"/>
  <c r="I311" i="1"/>
  <c r="I23" i="1" s="1"/>
  <c r="I326" i="1"/>
  <c r="I24" i="1" s="1"/>
  <c r="E161" i="1"/>
  <c r="E13" i="1" s="1"/>
  <c r="F176" i="1"/>
  <c r="F14" i="1" s="1"/>
  <c r="G221" i="1"/>
  <c r="G17" i="1" s="1"/>
  <c r="E221" i="1"/>
  <c r="E17" i="1" s="1"/>
  <c r="F206" i="1"/>
  <c r="F16" i="1" s="1"/>
  <c r="G206" i="1"/>
  <c r="G16" i="1" s="1"/>
  <c r="F191" i="1"/>
  <c r="F15" i="1" s="1"/>
  <c r="D206" i="1"/>
  <c r="D16" i="1" s="1"/>
  <c r="D221" i="1"/>
  <c r="D17" i="1" s="1"/>
  <c r="I236" i="1"/>
  <c r="I18" i="1" s="1"/>
  <c r="I251" i="1"/>
  <c r="I19" i="1" s="1"/>
  <c r="I296" i="1"/>
  <c r="I22" i="1" s="1"/>
  <c r="F152" i="1"/>
  <c r="F161" i="1" s="1"/>
  <c r="F13" i="1" s="1"/>
</calcChain>
</file>

<file path=xl/sharedStrings.xml><?xml version="1.0" encoding="utf-8"?>
<sst xmlns="http://schemas.openxmlformats.org/spreadsheetml/2006/main" count="314" uniqueCount="42">
  <si>
    <t>MERCADO ACCIONARIO</t>
  </si>
  <si>
    <t>Período</t>
  </si>
  <si>
    <t>Nº Acciones inscritas</t>
  </si>
  <si>
    <t xml:space="preserve">Patrimonio bursátil </t>
  </si>
  <si>
    <t>Monto transado</t>
  </si>
  <si>
    <t xml:space="preserve">Emisiones de fondos de inversión pagadas </t>
  </si>
  <si>
    <t>Emisiones de acciones pagadas (3)</t>
  </si>
  <si>
    <t>Diviendos otorgados</t>
  </si>
  <si>
    <t>Emisiones inscritas</t>
  </si>
  <si>
    <t>Rotación (%) (4)</t>
  </si>
  <si>
    <t>Relación precio/ utilidad (veces) (5)</t>
  </si>
  <si>
    <t>Millones de pesos de diciembre de cada año</t>
  </si>
  <si>
    <t>Millones de pesos de cada mes</t>
  </si>
  <si>
    <t>Enero</t>
  </si>
  <si>
    <t>Febrero</t>
  </si>
  <si>
    <t>Marzo</t>
  </si>
  <si>
    <t>Abril</t>
  </si>
  <si>
    <t>Mayo</t>
  </si>
  <si>
    <t>Junio</t>
  </si>
  <si>
    <t>Julio</t>
  </si>
  <si>
    <t>Agosto</t>
  </si>
  <si>
    <t>Septiembre</t>
  </si>
  <si>
    <t>Octubre</t>
  </si>
  <si>
    <t>Noviembre</t>
  </si>
  <si>
    <t>Diciembre</t>
  </si>
  <si>
    <t>Total año</t>
  </si>
  <si>
    <t xml:space="preserve">Abril </t>
  </si>
  <si>
    <t>(1) Corresponde al N° de series de acciones de sociedades anónimas inscritas</t>
  </si>
  <si>
    <t>This is the number of series of listed corporate stock</t>
  </si>
  <si>
    <t>(2) Patrimonio Bursátil a valor de mercado, de las sociedades anónimas inscritas en la Bolsa de Comercio de Santiago, Bolsa de Valores. Al 30 de diciembre de cada año o al último día de cada mes.</t>
  </si>
  <si>
    <t xml:space="preserve">Market capitalization, at market value, of companies listed at the Santiago Stock Exchange as of december 30 of every year, or as of the last day of the every month </t>
  </si>
  <si>
    <t>(3) Emisiones pagadas a valor de suscripción</t>
  </si>
  <si>
    <t>Paid issues at suscription value</t>
  </si>
  <si>
    <t>(4) Monto transado como porcentaje del patrimonio bursátil</t>
  </si>
  <si>
    <t>Traded amount as a percentage of market capitalization.</t>
  </si>
  <si>
    <t>(5) Relación precio utilidad de las acciones componentes del IPSA.</t>
  </si>
  <si>
    <t>Price Earnings ratio</t>
  </si>
  <si>
    <t xml:space="preserve">(6) A contar de diciembre del año 2003 la columna de “emisiones pagadas” fue modificada, cambiando los valores de varios años. El cambio se debe a un error donde se incluían las emisiones de fondos de inversión en el mismo valor. </t>
  </si>
  <si>
    <t>(6) Since December 2003 the column “paid issues” was changed, producing a correction in values for many years. The change was the product of an error that took into account the issuance of investment fund shares at the same value.</t>
  </si>
  <si>
    <t>FUENTE: Elaborado en base a la información de la Bolsa de Comercio de Santiago, Bolsa de Valores. SOURCE: Prepared according to the information for the Santiago Stock Exchange.</t>
  </si>
  <si>
    <t xml:space="preserve">(7) A contar de enero del año 2015 la columna de “dividendos otorgados” fue modificada. El cambio se debe a un error donde se incluían los repartos de fondos de inversión en el mismo valor. </t>
  </si>
  <si>
    <t>(7) Since January 2015 the column “dividends granted” was changed. The change was the product of an error that took into account the payment of investment fund shares at the same value.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</si>
</sst>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64" formatCode="#,##0.0"/>
    <numFmt numFmtId="165" formatCode="#,##0.0;\-#,##0.0"/>
    <numFmt numFmtId="166" formatCode="0.0"/>
    <numFmt numFmtId="167" formatCode="_-* #,##0.0_-;\-* #,##0.0_-;_-* &quot;-&quot;??_-;_-@_-"/>
    <numFmt numFmtId="168" formatCode="#,##0.0\ _€;\-#,##0.0\ _€"/>
    <numFmt numFmtId="170" formatCode="_-* #,##0.000_-;\-* #,##0.000_-;_-* &quot;-&quot;??_-;_-@_-"/>
    <numFmt numFmtId="171" formatCode="#,##0.0\ _€;[Red]\-#,##0.0\ _€"/>
    <numFmt numFmtId="172" formatCode="_-* #,##0_-;\-* #,##0_-;_-* &quot;-&quot;??_-;_-@_-"/>
  </numFmts>
  <fonts count="11" x14ac:knownFonts="1">
    <font>
      <sz val="10"/>
      <name val="Arial"/>
    </font>
    <font>
      <sz val="10"/>
      <name val="Arial"/>
      <family val="2"/>
    </font>
    <font>
      <sz val="10"/>
      <name val="Arial"/>
      <family val="2"/>
    </font>
    <font>
      <sz val="8"/>
      <name val="Arial"/>
      <family val="2"/>
    </font>
    <font>
      <b/>
      <sz val="12"/>
      <name val="Calibri"/>
      <family val="2"/>
    </font>
    <font>
      <b/>
      <i/>
      <u/>
      <sz val="12"/>
      <name val="Calibri"/>
      <family val="2"/>
    </font>
    <font>
      <sz val="12"/>
      <name val="Calibri"/>
      <family val="2"/>
    </font>
    <font>
      <b/>
      <i/>
      <sz val="12"/>
      <name val="Calibri"/>
      <family val="2"/>
    </font>
    <font>
      <sz val="9"/>
      <name val="Arial"/>
      <family val="2"/>
    </font>
    <font>
      <sz val="13"/>
      <name val="Times New Roman"/>
      <family val="1"/>
    </font>
    <font>
      <sz val="25"/>
      <name val="Times New Roman"/>
      <family val="1"/>
    </font>
  </fonts>
  <fills count="3">
    <fill>
      <patternFill patternType="none"/>
    </fill>
    <fill>
      <patternFill patternType="gray125"/>
    </fill>
    <fill>
      <patternFill patternType="solid">
        <fgColor indexed="47"/>
        <bgColor indexed="64"/>
      </patternFill>
    </fill>
  </fills>
  <borders count="15">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132">
    <xf numFmtId="0" fontId="0" fillId="0" borderId="0" xfId="0"/>
    <xf numFmtId="3" fontId="1" fillId="0" borderId="0" xfId="0" applyNumberFormat="1" applyFont="1"/>
    <xf numFmtId="0" fontId="4" fillId="0" borderId="0" xfId="0" applyFont="1"/>
    <xf numFmtId="0" fontId="5" fillId="0" borderId="0" xfId="0" applyFont="1"/>
    <xf numFmtId="0" fontId="6" fillId="0" borderId="0" xfId="0" applyFont="1"/>
    <xf numFmtId="37" fontId="6" fillId="0" borderId="0" xfId="0" applyNumberFormat="1" applyFont="1"/>
    <xf numFmtId="38" fontId="6" fillId="0" borderId="0" xfId="1" applyNumberFormat="1" applyFont="1"/>
    <xf numFmtId="0" fontId="7" fillId="0" borderId="0" xfId="0" applyFont="1"/>
    <xf numFmtId="0" fontId="6" fillId="0" borderId="0" xfId="0" applyFont="1" applyAlignment="1">
      <alignment horizontal="center"/>
    </xf>
    <xf numFmtId="0" fontId="4" fillId="0" borderId="3" xfId="0" applyFont="1" applyBorder="1" applyAlignment="1">
      <alignment vertical="top" wrapText="1"/>
    </xf>
    <xf numFmtId="37" fontId="4" fillId="0" borderId="3" xfId="0" applyNumberFormat="1" applyFont="1" applyBorder="1" applyAlignment="1">
      <alignment vertical="top" wrapText="1"/>
    </xf>
    <xf numFmtId="38" fontId="4" fillId="0" borderId="3" xfId="1" applyNumberFormat="1" applyFont="1" applyBorder="1" applyAlignment="1">
      <alignment vertical="top" wrapText="1"/>
    </xf>
    <xf numFmtId="0" fontId="4" fillId="0" borderId="3" xfId="0" applyFont="1" applyBorder="1" applyAlignment="1">
      <alignment horizontal="center" vertical="top" wrapText="1"/>
    </xf>
    <xf numFmtId="0" fontId="4" fillId="0" borderId="1" xfId="0" applyFont="1" applyBorder="1" applyAlignment="1">
      <alignment horizontal="left"/>
    </xf>
    <xf numFmtId="0" fontId="4" fillId="0" borderId="0" xfId="0" applyFont="1" applyBorder="1" applyAlignment="1">
      <alignment horizontal="left"/>
    </xf>
    <xf numFmtId="37" fontId="4" fillId="0" borderId="0" xfId="0" applyNumberFormat="1" applyFont="1" applyBorder="1" applyAlignment="1">
      <alignment horizontal="left"/>
    </xf>
    <xf numFmtId="38" fontId="6" fillId="0" borderId="0" xfId="1" applyNumberFormat="1" applyFont="1" applyBorder="1"/>
    <xf numFmtId="0" fontId="6" fillId="0" borderId="0" xfId="0" applyFont="1" applyBorder="1"/>
    <xf numFmtId="0" fontId="6" fillId="0" borderId="0" xfId="0" applyFont="1" applyBorder="1" applyAlignment="1">
      <alignment horizontal="center"/>
    </xf>
    <xf numFmtId="0" fontId="6" fillId="0" borderId="2" xfId="0" applyFont="1" applyBorder="1"/>
    <xf numFmtId="0" fontId="6" fillId="0" borderId="1" xfId="0" applyFont="1" applyBorder="1"/>
    <xf numFmtId="164" fontId="6" fillId="0" borderId="0" xfId="0" applyNumberFormat="1" applyFont="1" applyBorder="1"/>
    <xf numFmtId="164" fontId="6" fillId="0" borderId="0" xfId="0" applyNumberFormat="1" applyFont="1" applyBorder="1" applyAlignment="1">
      <alignment horizontal="center" vertical="center"/>
    </xf>
    <xf numFmtId="164" fontId="6" fillId="0" borderId="2" xfId="0" applyNumberFormat="1" applyFont="1" applyBorder="1" applyAlignment="1">
      <alignment horizontal="center" vertical="center"/>
    </xf>
    <xf numFmtId="164" fontId="6" fillId="0" borderId="0" xfId="1" applyNumberFormat="1" applyFont="1" applyBorder="1"/>
    <xf numFmtId="164" fontId="6" fillId="0" borderId="0" xfId="0" applyNumberFormat="1" applyFont="1" applyBorder="1" applyAlignment="1">
      <alignment horizontal="right"/>
    </xf>
    <xf numFmtId="164" fontId="6" fillId="0" borderId="0" xfId="1" applyNumberFormat="1" applyFont="1" applyBorder="1" applyAlignment="1">
      <alignment horizontal="center"/>
    </xf>
    <xf numFmtId="164" fontId="6" fillId="0" borderId="2" xfId="1" applyNumberFormat="1" applyFont="1" applyBorder="1" applyAlignment="1">
      <alignment horizontal="center"/>
    </xf>
    <xf numFmtId="164" fontId="6" fillId="0" borderId="0" xfId="0" applyNumberFormat="1" applyFont="1" applyBorder="1" applyAlignment="1">
      <alignment horizontal="center"/>
    </xf>
    <xf numFmtId="164" fontId="6" fillId="0" borderId="2" xfId="0" applyNumberFormat="1" applyFont="1" applyBorder="1" applyAlignment="1">
      <alignment horizontal="center"/>
    </xf>
    <xf numFmtId="164" fontId="6" fillId="0" borderId="2" xfId="0" applyNumberFormat="1" applyFont="1" applyBorder="1"/>
    <xf numFmtId="0" fontId="4" fillId="0" borderId="1" xfId="1" applyNumberFormat="1" applyFont="1" applyBorder="1" applyAlignment="1">
      <alignment horizontal="right"/>
    </xf>
    <xf numFmtId="0" fontId="4" fillId="2" borderId="0" xfId="0" applyFont="1" applyFill="1" applyBorder="1" applyAlignment="1">
      <alignment horizontal="left"/>
    </xf>
    <xf numFmtId="164" fontId="6" fillId="2" borderId="0" xfId="0" applyNumberFormat="1" applyFont="1" applyFill="1" applyBorder="1"/>
    <xf numFmtId="164" fontId="6" fillId="2" borderId="0" xfId="0" applyNumberFormat="1" applyFont="1" applyFill="1" applyBorder="1" applyAlignment="1">
      <alignment horizontal="center"/>
    </xf>
    <xf numFmtId="164" fontId="6" fillId="2" borderId="2" xfId="0" applyNumberFormat="1" applyFont="1" applyFill="1" applyBorder="1"/>
    <xf numFmtId="0" fontId="4" fillId="0" borderId="1" xfId="0" applyFont="1" applyBorder="1"/>
    <xf numFmtId="164" fontId="4" fillId="0" borderId="0" xfId="1" applyNumberFormat="1" applyFont="1" applyBorder="1" applyAlignment="1">
      <alignment horizontal="right"/>
    </xf>
    <xf numFmtId="1" fontId="4" fillId="0" borderId="1" xfId="1" applyNumberFormat="1" applyFont="1" applyBorder="1" applyAlignment="1">
      <alignment horizontal="left"/>
    </xf>
    <xf numFmtId="164" fontId="6" fillId="0" borderId="0" xfId="0" applyNumberFormat="1" applyFont="1" applyFill="1" applyBorder="1"/>
    <xf numFmtId="164" fontId="6" fillId="0" borderId="0" xfId="0" applyNumberFormat="1" applyFont="1" applyFill="1" applyBorder="1" applyAlignment="1">
      <alignment horizontal="center"/>
    </xf>
    <xf numFmtId="0" fontId="6" fillId="0" borderId="7" xfId="0" applyFont="1" applyBorder="1"/>
    <xf numFmtId="164" fontId="6" fillId="0" borderId="7" xfId="0" applyNumberFormat="1" applyFont="1" applyBorder="1"/>
    <xf numFmtId="164" fontId="6" fillId="0" borderId="7" xfId="0" applyNumberFormat="1" applyFont="1" applyFill="1" applyBorder="1"/>
    <xf numFmtId="164" fontId="6" fillId="0" borderId="7" xfId="0" applyNumberFormat="1" applyFont="1" applyBorder="1" applyAlignment="1">
      <alignment horizontal="center"/>
    </xf>
    <xf numFmtId="164" fontId="6" fillId="0" borderId="8" xfId="0" applyNumberFormat="1" applyFont="1" applyBorder="1" applyAlignment="1">
      <alignment horizontal="center"/>
    </xf>
    <xf numFmtId="0" fontId="4" fillId="0" borderId="0" xfId="0" applyFont="1" applyBorder="1"/>
    <xf numFmtId="164" fontId="4" fillId="0" borderId="0" xfId="0" applyNumberFormat="1" applyFont="1" applyBorder="1"/>
    <xf numFmtId="164" fontId="4" fillId="0" borderId="0" xfId="1" applyNumberFormat="1" applyFont="1" applyBorder="1"/>
    <xf numFmtId="164" fontId="4" fillId="0" borderId="0" xfId="0" applyNumberFormat="1" applyFont="1" applyBorder="1" applyAlignment="1">
      <alignment horizontal="center" vertical="center"/>
    </xf>
    <xf numFmtId="164" fontId="4" fillId="0" borderId="2" xfId="0" applyNumberFormat="1" applyFont="1" applyBorder="1" applyAlignment="1">
      <alignment horizontal="center"/>
    </xf>
    <xf numFmtId="0" fontId="6" fillId="0" borderId="0" xfId="0" applyFont="1" applyFill="1" applyBorder="1"/>
    <xf numFmtId="164" fontId="6" fillId="0" borderId="0" xfId="1" applyNumberFormat="1" applyFont="1" applyFill="1" applyBorder="1"/>
    <xf numFmtId="164" fontId="6" fillId="0" borderId="0" xfId="0" applyNumberFormat="1" applyFont="1" applyFill="1" applyBorder="1" applyAlignment="1">
      <alignment horizontal="right"/>
    </xf>
    <xf numFmtId="164" fontId="6" fillId="0" borderId="0" xfId="1" applyNumberFormat="1" applyFont="1" applyBorder="1" applyAlignment="1">
      <alignment horizontal="right"/>
    </xf>
    <xf numFmtId="0" fontId="4" fillId="0" borderId="1" xfId="0" applyNumberFormat="1" applyFont="1" applyBorder="1" applyAlignment="1">
      <alignment horizontal="left"/>
    </xf>
    <xf numFmtId="3" fontId="6" fillId="0" borderId="0" xfId="0" applyNumberFormat="1" applyFont="1" applyFill="1" applyBorder="1"/>
    <xf numFmtId="3" fontId="6" fillId="0" borderId="0" xfId="1" applyNumberFormat="1" applyFont="1" applyFill="1" applyBorder="1"/>
    <xf numFmtId="2" fontId="6" fillId="0" borderId="0" xfId="0" applyNumberFormat="1" applyFont="1" applyFill="1" applyBorder="1"/>
    <xf numFmtId="164" fontId="4" fillId="0" borderId="0" xfId="0" applyNumberFormat="1" applyFont="1" applyFill="1" applyBorder="1"/>
    <xf numFmtId="164" fontId="4" fillId="0" borderId="2" xfId="0" applyNumberFormat="1" applyFont="1" applyFill="1" applyBorder="1" applyAlignment="1">
      <alignment horizontal="center"/>
    </xf>
    <xf numFmtId="37" fontId="6" fillId="0" borderId="0" xfId="0" applyNumberFormat="1" applyFont="1" applyFill="1"/>
    <xf numFmtId="2" fontId="6" fillId="0" borderId="0" xfId="0" applyNumberFormat="1" applyFont="1" applyFill="1" applyAlignment="1">
      <alignment horizontal="center"/>
    </xf>
    <xf numFmtId="2" fontId="6" fillId="0" borderId="2" xfId="0" applyNumberFormat="1" applyFont="1" applyFill="1" applyBorder="1" applyAlignment="1">
      <alignment horizontal="center"/>
    </xf>
    <xf numFmtId="164" fontId="6" fillId="0" borderId="2" xfId="0" applyNumberFormat="1" applyFont="1" applyFill="1" applyBorder="1"/>
    <xf numFmtId="164" fontId="6" fillId="0" borderId="2" xfId="0" applyNumberFormat="1" applyFont="1" applyFill="1" applyBorder="1" applyAlignment="1">
      <alignment horizontal="center"/>
    </xf>
    <xf numFmtId="165" fontId="6" fillId="0" borderId="0" xfId="0" applyNumberFormat="1" applyFont="1"/>
    <xf numFmtId="164" fontId="6" fillId="0" borderId="7" xfId="0" applyNumberFormat="1" applyFont="1" applyBorder="1" applyAlignment="1">
      <alignment horizontal="right"/>
    </xf>
    <xf numFmtId="2" fontId="6" fillId="0" borderId="2" xfId="0" applyNumberFormat="1" applyFont="1" applyBorder="1" applyAlignment="1">
      <alignment horizontal="center"/>
    </xf>
    <xf numFmtId="164" fontId="4" fillId="0" borderId="0" xfId="0" applyNumberFormat="1" applyFont="1" applyBorder="1" applyAlignment="1">
      <alignment horizontal="center"/>
    </xf>
    <xf numFmtId="0" fontId="4" fillId="0" borderId="9" xfId="0" applyFont="1" applyBorder="1"/>
    <xf numFmtId="0" fontId="4" fillId="0" borderId="10" xfId="0" applyFont="1" applyBorder="1"/>
    <xf numFmtId="164" fontId="4" fillId="0" borderId="10" xfId="0" applyNumberFormat="1" applyFont="1" applyBorder="1"/>
    <xf numFmtId="164" fontId="4" fillId="0" borderId="10" xfId="1" applyNumberFormat="1" applyFont="1" applyBorder="1"/>
    <xf numFmtId="164" fontId="4" fillId="0" borderId="10" xfId="0" applyNumberFormat="1" applyFont="1" applyBorder="1" applyAlignment="1">
      <alignment horizontal="center"/>
    </xf>
    <xf numFmtId="164" fontId="4" fillId="0" borderId="11" xfId="0" applyNumberFormat="1" applyFont="1" applyBorder="1" applyAlignment="1">
      <alignment horizontal="center"/>
    </xf>
    <xf numFmtId="164" fontId="6" fillId="0" borderId="0" xfId="0" applyNumberFormat="1" applyFont="1"/>
    <xf numFmtId="3" fontId="6" fillId="0" borderId="0" xfId="0" applyNumberFormat="1" applyFont="1"/>
    <xf numFmtId="167" fontId="6" fillId="0" borderId="0" xfId="1" applyNumberFormat="1" applyFont="1" applyBorder="1"/>
    <xf numFmtId="170" fontId="6" fillId="0" borderId="0" xfId="1" applyNumberFormat="1" applyFont="1" applyBorder="1"/>
    <xf numFmtId="168" fontId="6" fillId="0" borderId="0" xfId="0" applyNumberFormat="1" applyFont="1" applyBorder="1"/>
    <xf numFmtId="171" fontId="6" fillId="0" borderId="0" xfId="1" applyNumberFormat="1" applyFont="1" applyBorder="1"/>
    <xf numFmtId="166" fontId="6" fillId="0" borderId="0" xfId="0" applyNumberFormat="1" applyFont="1" applyBorder="1" applyAlignment="1">
      <alignment horizontal="right"/>
    </xf>
    <xf numFmtId="43" fontId="6" fillId="0" borderId="0" xfId="1" applyFont="1"/>
    <xf numFmtId="0" fontId="6" fillId="0" borderId="0" xfId="0" applyFont="1" applyAlignment="1">
      <alignment horizontal="right"/>
    </xf>
    <xf numFmtId="3" fontId="6" fillId="0" borderId="4" xfId="0" applyNumberFormat="1" applyFont="1" applyBorder="1" applyAlignment="1">
      <alignment horizontal="left"/>
    </xf>
    <xf numFmtId="3" fontId="6" fillId="0" borderId="5" xfId="0" applyNumberFormat="1" applyFont="1" applyBorder="1"/>
    <xf numFmtId="3" fontId="6" fillId="0" borderId="6" xfId="0" applyNumberFormat="1" applyFont="1" applyBorder="1"/>
    <xf numFmtId="2" fontId="6" fillId="0" borderId="0" xfId="0" applyNumberFormat="1" applyFont="1" applyAlignment="1">
      <alignment horizontal="center"/>
    </xf>
    <xf numFmtId="3" fontId="6" fillId="0" borderId="0" xfId="0" applyNumberFormat="1" applyFont="1" applyAlignment="1">
      <alignment wrapText="1"/>
    </xf>
    <xf numFmtId="2" fontId="6" fillId="0" borderId="0" xfId="0" applyNumberFormat="1" applyFont="1" applyAlignment="1">
      <alignment horizontal="center" wrapText="1"/>
    </xf>
    <xf numFmtId="3" fontId="6" fillId="0" borderId="0" xfId="0" applyNumberFormat="1" applyFont="1" applyAlignment="1">
      <alignment horizontal="left" wrapText="1"/>
    </xf>
    <xf numFmtId="0" fontId="8" fillId="0" borderId="0" xfId="0" applyFont="1" applyAlignment="1">
      <alignment vertical="center"/>
    </xf>
    <xf numFmtId="3" fontId="8" fillId="0" borderId="0" xfId="0" applyNumberFormat="1" applyFont="1" applyAlignment="1">
      <alignment vertical="center"/>
    </xf>
    <xf numFmtId="15" fontId="8" fillId="0" borderId="0" xfId="0" applyNumberFormat="1" applyFont="1" applyAlignment="1">
      <alignment vertical="center"/>
    </xf>
    <xf numFmtId="4" fontId="8" fillId="0" borderId="0" xfId="0" applyNumberFormat="1" applyFont="1" applyAlignment="1">
      <alignment vertical="center"/>
    </xf>
    <xf numFmtId="0" fontId="9" fillId="0" borderId="0" xfId="0" applyFont="1" applyAlignment="1">
      <alignment vertical="center"/>
    </xf>
    <xf numFmtId="172" fontId="6" fillId="0" borderId="0" xfId="1" applyNumberFormat="1" applyFont="1"/>
    <xf numFmtId="164" fontId="6" fillId="0" borderId="0" xfId="0" applyNumberFormat="1" applyFont="1" applyFill="1"/>
    <xf numFmtId="3" fontId="6" fillId="0" borderId="0" xfId="0" applyNumberFormat="1" applyFont="1" applyFill="1"/>
    <xf numFmtId="0" fontId="1" fillId="0" borderId="0" xfId="0" applyFont="1" applyAlignment="1">
      <alignment vertical="center"/>
    </xf>
    <xf numFmtId="0" fontId="10" fillId="0" borderId="0" xfId="0" applyFont="1" applyAlignment="1">
      <alignment vertical="center"/>
    </xf>
    <xf numFmtId="1" fontId="6" fillId="0" borderId="1" xfId="1" applyNumberFormat="1" applyFont="1" applyBorder="1" applyAlignment="1">
      <alignment horizontal="center"/>
    </xf>
    <xf numFmtId="0" fontId="6" fillId="0" borderId="12" xfId="0" applyFont="1" applyBorder="1" applyAlignment="1">
      <alignment horizontal="left"/>
    </xf>
    <xf numFmtId="0" fontId="6" fillId="0" borderId="13" xfId="0" applyFont="1" applyBorder="1" applyAlignment="1">
      <alignment horizontal="left"/>
    </xf>
    <xf numFmtId="0" fontId="6" fillId="0" borderId="14" xfId="0" applyFont="1" applyBorder="1" applyAlignment="1">
      <alignment horizontal="left"/>
    </xf>
    <xf numFmtId="0" fontId="6" fillId="0" borderId="4" xfId="0" applyFont="1" applyBorder="1" applyAlignment="1">
      <alignment horizontal="left" wrapText="1"/>
    </xf>
    <xf numFmtId="0" fontId="6" fillId="0" borderId="5" xfId="0" applyFont="1" applyBorder="1" applyAlignment="1">
      <alignment horizontal="left" wrapText="1"/>
    </xf>
    <xf numFmtId="0" fontId="6" fillId="0" borderId="6" xfId="0" applyFont="1" applyBorder="1" applyAlignment="1">
      <alignment horizontal="left" wrapText="1"/>
    </xf>
    <xf numFmtId="0" fontId="6" fillId="0" borderId="12" xfId="0" quotePrefix="1" applyFont="1" applyBorder="1" applyAlignment="1">
      <alignment horizontal="left" wrapText="1"/>
    </xf>
    <xf numFmtId="0" fontId="6" fillId="0" borderId="13" xfId="0" applyFont="1" applyBorder="1" applyAlignment="1">
      <alignment horizontal="left" wrapText="1"/>
    </xf>
    <xf numFmtId="0" fontId="6" fillId="0" borderId="14" xfId="0" applyFont="1" applyBorder="1" applyAlignment="1">
      <alignment horizontal="left" wrapText="1"/>
    </xf>
    <xf numFmtId="0" fontId="6" fillId="0" borderId="4" xfId="0" applyFont="1" applyBorder="1" applyAlignment="1">
      <alignment horizontal="left"/>
    </xf>
    <xf numFmtId="0" fontId="6" fillId="0" borderId="5" xfId="0" applyFont="1" applyBorder="1" applyAlignment="1">
      <alignment horizontal="left"/>
    </xf>
    <xf numFmtId="0" fontId="6" fillId="0" borderId="6" xfId="0" applyFont="1" applyBorder="1" applyAlignment="1">
      <alignment horizontal="left"/>
    </xf>
    <xf numFmtId="0" fontId="6" fillId="0" borderId="12" xfId="0" quotePrefix="1" applyFont="1" applyBorder="1" applyAlignment="1">
      <alignment horizontal="left"/>
    </xf>
    <xf numFmtId="0" fontId="6" fillId="0" borderId="4" xfId="0" applyFont="1" applyBorder="1" applyAlignment="1">
      <alignment wrapText="1"/>
    </xf>
    <xf numFmtId="0" fontId="6" fillId="0" borderId="5" xfId="0" applyFont="1" applyBorder="1" applyAlignment="1">
      <alignment wrapText="1"/>
    </xf>
    <xf numFmtId="0" fontId="6" fillId="0" borderId="6" xfId="0" applyFont="1" applyBorder="1" applyAlignment="1">
      <alignment wrapText="1"/>
    </xf>
    <xf numFmtId="0" fontId="6" fillId="0" borderId="12" xfId="0" applyFont="1" applyBorder="1" applyAlignment="1">
      <alignment wrapText="1"/>
    </xf>
    <xf numFmtId="0" fontId="6" fillId="0" borderId="13" xfId="0" applyFont="1" applyBorder="1" applyAlignment="1">
      <alignment wrapText="1"/>
    </xf>
    <xf numFmtId="0" fontId="6" fillId="0" borderId="14" xfId="0" applyFont="1" applyBorder="1" applyAlignment="1">
      <alignment wrapText="1"/>
    </xf>
    <xf numFmtId="0" fontId="6" fillId="0" borderId="12" xfId="0" applyFont="1" applyBorder="1" applyAlignment="1">
      <alignment horizontal="left" wrapText="1"/>
    </xf>
    <xf numFmtId="0" fontId="6" fillId="0" borderId="4" xfId="0" quotePrefix="1" applyFont="1" applyBorder="1" applyAlignment="1">
      <alignment horizontal="left"/>
    </xf>
    <xf numFmtId="0" fontId="6" fillId="0" borderId="4" xfId="2" applyFont="1" applyBorder="1" applyAlignment="1">
      <alignment vertical="center" wrapText="1"/>
    </xf>
    <xf numFmtId="0" fontId="6" fillId="0" borderId="5" xfId="2" applyFont="1" applyBorder="1" applyAlignment="1">
      <alignment vertical="center" wrapText="1"/>
    </xf>
    <xf numFmtId="0" fontId="6" fillId="0" borderId="6" xfId="2" applyFont="1" applyBorder="1" applyAlignment="1">
      <alignment vertical="center" wrapText="1"/>
    </xf>
    <xf numFmtId="0" fontId="6" fillId="0" borderId="12" xfId="2" applyFont="1" applyBorder="1" applyAlignment="1">
      <alignment vertical="center" wrapText="1"/>
    </xf>
    <xf numFmtId="0" fontId="6" fillId="0" borderId="13" xfId="2" applyFont="1" applyBorder="1" applyAlignment="1">
      <alignment vertical="center" wrapText="1"/>
    </xf>
    <xf numFmtId="0" fontId="6" fillId="0" borderId="14" xfId="2" applyFont="1" applyBorder="1" applyAlignment="1">
      <alignment vertical="center" wrapText="1"/>
    </xf>
    <xf numFmtId="172" fontId="1" fillId="0" borderId="0" xfId="1" applyNumberFormat="1" applyFont="1"/>
    <xf numFmtId="172" fontId="6" fillId="0" borderId="0" xfId="0" applyNumberFormat="1" applyFont="1"/>
  </cellXfs>
  <cellStyles count="3">
    <cellStyle name="Millares" xfId="1" builtinId="3"/>
    <cellStyle name="Normal" xfId="0" builtinId="0"/>
    <cellStyle name="Normal_Hoja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S1170"/>
  <sheetViews>
    <sheetView tabSelected="1" zoomScale="80" zoomScaleNormal="80" workbookViewId="0">
      <pane ySplit="3" topLeftCell="A318" activePane="bottomLeft" state="frozen"/>
      <selection pane="bottomLeft" activeCell="G356" sqref="G356"/>
    </sheetView>
  </sheetViews>
  <sheetFormatPr baseColWidth="10" defaultRowHeight="15.75" x14ac:dyDescent="0.25"/>
  <cols>
    <col min="1" max="1" width="12.42578125" style="4" customWidth="1"/>
    <col min="2" max="2" width="13.140625" style="4" customWidth="1"/>
    <col min="3" max="3" width="19.5703125" style="4" bestFit="1" customWidth="1"/>
    <col min="4" max="4" width="21.85546875" style="4" bestFit="1" customWidth="1"/>
    <col min="5" max="5" width="18.28515625" style="5" customWidth="1"/>
    <col min="6" max="6" width="18.28515625" style="6" bestFit="1" customWidth="1"/>
    <col min="7" max="7" width="19.42578125" style="4" bestFit="1" customWidth="1"/>
    <col min="8" max="8" width="13.140625" style="4" customWidth="1"/>
    <col min="9" max="9" width="18.28515625" style="8" customWidth="1"/>
    <col min="10" max="10" width="14" style="4" customWidth="1"/>
    <col min="11" max="11" width="11.42578125" style="4"/>
    <col min="12" max="12" width="20.5703125" style="4" customWidth="1"/>
    <col min="13" max="13" width="11.42578125" style="4"/>
    <col min="14" max="14" width="22.42578125" style="4" bestFit="1" customWidth="1"/>
    <col min="15" max="16384" width="11.42578125" style="4"/>
  </cols>
  <sheetData>
    <row r="1" spans="1:10" x14ac:dyDescent="0.25">
      <c r="A1" s="2" t="s">
        <v>0</v>
      </c>
      <c r="H1" s="7"/>
      <c r="J1" s="3"/>
    </row>
    <row r="2" spans="1:10" ht="57" customHeight="1" x14ac:dyDescent="0.25">
      <c r="A2" s="9" t="s">
        <v>1</v>
      </c>
      <c r="B2" s="9" t="s">
        <v>2</v>
      </c>
      <c r="C2" s="9" t="s">
        <v>3</v>
      </c>
      <c r="D2" s="9" t="s">
        <v>4</v>
      </c>
      <c r="E2" s="10" t="s">
        <v>5</v>
      </c>
      <c r="F2" s="11" t="s">
        <v>6</v>
      </c>
      <c r="G2" s="9" t="s">
        <v>7</v>
      </c>
      <c r="H2" s="9" t="s">
        <v>8</v>
      </c>
      <c r="I2" s="12" t="s">
        <v>9</v>
      </c>
      <c r="J2" s="9" t="s">
        <v>10</v>
      </c>
    </row>
    <row r="3" spans="1:10" x14ac:dyDescent="0.25">
      <c r="A3" s="13" t="s">
        <v>11</v>
      </c>
      <c r="B3" s="14"/>
      <c r="C3" s="14"/>
      <c r="D3" s="14"/>
      <c r="E3" s="15"/>
      <c r="F3" s="16"/>
      <c r="G3" s="17"/>
      <c r="H3" s="17"/>
      <c r="I3" s="18"/>
      <c r="J3" s="19"/>
    </row>
    <row r="4" spans="1:10" x14ac:dyDescent="0.25">
      <c r="A4" s="20"/>
      <c r="B4" s="14"/>
      <c r="C4" s="14"/>
      <c r="D4" s="14"/>
      <c r="E4" s="15"/>
      <c r="F4" s="16"/>
      <c r="G4" s="17"/>
      <c r="H4" s="17"/>
      <c r="I4" s="18"/>
      <c r="J4" s="19"/>
    </row>
    <row r="5" spans="1:10" x14ac:dyDescent="0.25">
      <c r="A5" s="102">
        <v>1994</v>
      </c>
      <c r="B5" s="17">
        <v>335</v>
      </c>
      <c r="C5" s="21">
        <v>27349445</v>
      </c>
      <c r="D5" s="21">
        <v>2273882</v>
      </c>
      <c r="E5" s="21">
        <f>+E41</f>
        <v>0</v>
      </c>
      <c r="F5" s="21">
        <f>+F41</f>
        <v>387138.36100000003</v>
      </c>
      <c r="G5" s="21">
        <v>722223</v>
      </c>
      <c r="H5" s="21">
        <v>47</v>
      </c>
      <c r="I5" s="22">
        <v>8.3000000000000007</v>
      </c>
      <c r="J5" s="23">
        <v>20.5</v>
      </c>
    </row>
    <row r="6" spans="1:10" ht="12.75" customHeight="1" x14ac:dyDescent="0.25">
      <c r="A6" s="102">
        <v>1995</v>
      </c>
      <c r="B6" s="17">
        <v>323</v>
      </c>
      <c r="C6" s="21">
        <v>28978489</v>
      </c>
      <c r="D6" s="21">
        <v>4393212</v>
      </c>
      <c r="E6" s="21">
        <f>+E56</f>
        <v>0</v>
      </c>
      <c r="F6" s="21">
        <f>+F56</f>
        <v>352965.60700000002</v>
      </c>
      <c r="G6" s="21">
        <v>991233</v>
      </c>
      <c r="H6" s="21">
        <v>47</v>
      </c>
      <c r="I6" s="22">
        <v>15.2</v>
      </c>
      <c r="J6" s="23">
        <v>19.100000000000001</v>
      </c>
    </row>
    <row r="7" spans="1:10" ht="12.75" customHeight="1" x14ac:dyDescent="0.25">
      <c r="A7" s="102">
        <v>1996</v>
      </c>
      <c r="B7" s="17">
        <v>326</v>
      </c>
      <c r="C7" s="21">
        <v>27981726</v>
      </c>
      <c r="D7" s="21">
        <v>3487296</v>
      </c>
      <c r="E7" s="21">
        <f>+E71</f>
        <v>0</v>
      </c>
      <c r="F7" s="21">
        <f>+F71</f>
        <v>733474.87600000005</v>
      </c>
      <c r="G7" s="21">
        <v>1082680</v>
      </c>
      <c r="H7" s="21">
        <v>51</v>
      </c>
      <c r="I7" s="22">
        <v>12.5</v>
      </c>
      <c r="J7" s="23">
        <v>13.4</v>
      </c>
    </row>
    <row r="8" spans="1:10" ht="12.75" customHeight="1" x14ac:dyDescent="0.25">
      <c r="A8" s="102">
        <v>1997</v>
      </c>
      <c r="B8" s="17">
        <v>330</v>
      </c>
      <c r="C8" s="21">
        <v>31592248</v>
      </c>
      <c r="D8" s="21">
        <v>3120943</v>
      </c>
      <c r="E8" s="21">
        <f>+E86</f>
        <v>0</v>
      </c>
      <c r="F8" s="21">
        <f>+F86</f>
        <v>823361.09699999983</v>
      </c>
      <c r="G8" s="21">
        <v>1176905</v>
      </c>
      <c r="H8" s="21">
        <v>51</v>
      </c>
      <c r="I8" s="22">
        <v>9.9</v>
      </c>
      <c r="J8" s="23">
        <v>13.6</v>
      </c>
    </row>
    <row r="9" spans="1:10" ht="12.75" customHeight="1" x14ac:dyDescent="0.25">
      <c r="A9" s="102">
        <v>1998</v>
      </c>
      <c r="B9" s="17">
        <v>315</v>
      </c>
      <c r="C9" s="21">
        <v>24545666</v>
      </c>
      <c r="D9" s="21">
        <v>2086786</v>
      </c>
      <c r="E9" s="21">
        <f>+E101</f>
        <v>0</v>
      </c>
      <c r="F9" s="21">
        <f>+F101</f>
        <v>430316.93600000005</v>
      </c>
      <c r="G9" s="21">
        <v>1326960</v>
      </c>
      <c r="H9" s="21">
        <v>42</v>
      </c>
      <c r="I9" s="22">
        <v>8.5</v>
      </c>
      <c r="J9" s="23">
        <v>12.7</v>
      </c>
    </row>
    <row r="10" spans="1:10" ht="12.75" customHeight="1" x14ac:dyDescent="0.25">
      <c r="A10" s="102">
        <v>1999</v>
      </c>
      <c r="B10" s="17">
        <v>316</v>
      </c>
      <c r="C10" s="21">
        <v>36146942</v>
      </c>
      <c r="D10" s="21">
        <v>3455318</v>
      </c>
      <c r="E10" s="24">
        <f>+E116</f>
        <v>0</v>
      </c>
      <c r="F10" s="24">
        <f>+F116</f>
        <v>765932.17800000007</v>
      </c>
      <c r="G10" s="21">
        <v>1300075</v>
      </c>
      <c r="H10" s="21">
        <v>39</v>
      </c>
      <c r="I10" s="22">
        <v>9.6</v>
      </c>
      <c r="J10" s="23">
        <v>16.170000000000002</v>
      </c>
    </row>
    <row r="11" spans="1:10" ht="12.75" customHeight="1" x14ac:dyDescent="0.25">
      <c r="A11" s="102">
        <v>2000</v>
      </c>
      <c r="B11" s="17">
        <v>296</v>
      </c>
      <c r="C11" s="21">
        <v>34654940</v>
      </c>
      <c r="D11" s="21">
        <v>3368951</v>
      </c>
      <c r="E11" s="24">
        <f>+E131</f>
        <v>0</v>
      </c>
      <c r="F11" s="24">
        <f>+F131</f>
        <v>791430.03099999984</v>
      </c>
      <c r="G11" s="21">
        <v>1258877</v>
      </c>
      <c r="H11" s="21">
        <v>31</v>
      </c>
      <c r="I11" s="22">
        <v>9.7200000000000006</v>
      </c>
      <c r="J11" s="23">
        <v>16.98</v>
      </c>
    </row>
    <row r="12" spans="1:10" ht="12.75" customHeight="1" x14ac:dyDescent="0.25">
      <c r="A12" s="102">
        <v>2001</v>
      </c>
      <c r="B12" s="17">
        <v>288</v>
      </c>
      <c r="C12" s="25">
        <f>+C145</f>
        <v>37229174.460000001</v>
      </c>
      <c r="D12" s="21">
        <f t="shared" ref="D12:J12" si="0">+D146</f>
        <v>2691251.1049999995</v>
      </c>
      <c r="E12" s="24">
        <f t="shared" si="0"/>
        <v>0</v>
      </c>
      <c r="F12" s="24">
        <f t="shared" si="0"/>
        <v>267774.00699999993</v>
      </c>
      <c r="G12" s="24">
        <f t="shared" si="0"/>
        <v>2308391.0840000003</v>
      </c>
      <c r="H12" s="24">
        <f t="shared" si="0"/>
        <v>26</v>
      </c>
      <c r="I12" s="26">
        <f t="shared" si="0"/>
        <v>7.3120046247561179</v>
      </c>
      <c r="J12" s="27">
        <f t="shared" si="0"/>
        <v>15.49</v>
      </c>
    </row>
    <row r="13" spans="1:10" ht="12.75" customHeight="1" x14ac:dyDescent="0.25">
      <c r="A13" s="102">
        <v>2002</v>
      </c>
      <c r="B13" s="16">
        <f t="shared" ref="B13:J13" si="1">+B161</f>
        <v>296</v>
      </c>
      <c r="C13" s="24">
        <f t="shared" si="1"/>
        <v>34272528.299999997</v>
      </c>
      <c r="D13" s="24">
        <f t="shared" si="1"/>
        <v>2421412.0970000001</v>
      </c>
      <c r="E13" s="24">
        <f t="shared" si="1"/>
        <v>22757.312999999995</v>
      </c>
      <c r="F13" s="24">
        <f t="shared" si="1"/>
        <v>220593.39500000002</v>
      </c>
      <c r="G13" s="24">
        <f t="shared" si="1"/>
        <v>1455422.1960000002</v>
      </c>
      <c r="H13" s="24">
        <f t="shared" si="1"/>
        <v>25</v>
      </c>
      <c r="I13" s="26">
        <f>+I161</f>
        <v>7.0704230123388365</v>
      </c>
      <c r="J13" s="27">
        <f t="shared" si="1"/>
        <v>20.6</v>
      </c>
    </row>
    <row r="14" spans="1:10" ht="12.75" customHeight="1" x14ac:dyDescent="0.25">
      <c r="A14" s="102">
        <v>2003</v>
      </c>
      <c r="B14" s="17">
        <f>+B176</f>
        <v>277</v>
      </c>
      <c r="C14" s="21">
        <f t="shared" ref="C14:J14" si="2">+C176</f>
        <v>51270928.369999997</v>
      </c>
      <c r="D14" s="21">
        <f t="shared" si="2"/>
        <v>4522174.2970000003</v>
      </c>
      <c r="E14" s="21">
        <f t="shared" si="2"/>
        <v>62078.597999999998</v>
      </c>
      <c r="F14" s="24">
        <f t="shared" si="2"/>
        <v>1621802.696</v>
      </c>
      <c r="G14" s="21">
        <f t="shared" si="2"/>
        <v>1700500.3190000001</v>
      </c>
      <c r="H14" s="21">
        <f t="shared" si="2"/>
        <v>29</v>
      </c>
      <c r="I14" s="28">
        <f>+I176</f>
        <v>10.091853750095117</v>
      </c>
      <c r="J14" s="29">
        <f t="shared" si="2"/>
        <v>22.92</v>
      </c>
    </row>
    <row r="15" spans="1:10" ht="12.75" customHeight="1" x14ac:dyDescent="0.25">
      <c r="A15" s="102">
        <v>2004</v>
      </c>
      <c r="B15" s="17">
        <f>+B191</f>
        <v>281</v>
      </c>
      <c r="C15" s="21">
        <f t="shared" ref="C15:J15" si="3">+C191</f>
        <v>65058783.079999998</v>
      </c>
      <c r="D15" s="21">
        <f t="shared" si="3"/>
        <v>7270282.7920000004</v>
      </c>
      <c r="E15" s="21">
        <f t="shared" si="3"/>
        <v>68745.059000000023</v>
      </c>
      <c r="F15" s="24">
        <f t="shared" si="3"/>
        <v>562610.13500000001</v>
      </c>
      <c r="G15" s="21">
        <f t="shared" si="3"/>
        <v>2392040.5660000001</v>
      </c>
      <c r="H15" s="21">
        <f t="shared" si="3"/>
        <v>22</v>
      </c>
      <c r="I15" s="28">
        <f>+I191</f>
        <v>12.607733858748031</v>
      </c>
      <c r="J15" s="29">
        <f t="shared" si="3"/>
        <v>20.03</v>
      </c>
    </row>
    <row r="16" spans="1:10" ht="12.75" customHeight="1" x14ac:dyDescent="0.25">
      <c r="A16" s="102">
        <v>2005</v>
      </c>
      <c r="B16" s="17">
        <f>+B206</f>
        <v>257</v>
      </c>
      <c r="C16" s="21">
        <f t="shared" ref="C16:J16" si="4">+C206</f>
        <v>69867057.480000004</v>
      </c>
      <c r="D16" s="21">
        <f t="shared" si="4"/>
        <v>18468079.274</v>
      </c>
      <c r="E16" s="21">
        <f t="shared" si="4"/>
        <v>66883.03</v>
      </c>
      <c r="F16" s="21">
        <f t="shared" si="4"/>
        <v>1079078.0979999998</v>
      </c>
      <c r="G16" s="21">
        <f t="shared" si="4"/>
        <v>2576333.0789999999</v>
      </c>
      <c r="H16" s="21">
        <f t="shared" si="4"/>
        <v>39</v>
      </c>
      <c r="I16" s="28">
        <f t="shared" si="4"/>
        <v>26.51181075358954</v>
      </c>
      <c r="J16" s="29">
        <f t="shared" si="4"/>
        <v>19.84</v>
      </c>
    </row>
    <row r="17" spans="1:10" ht="12.75" customHeight="1" x14ac:dyDescent="0.25">
      <c r="A17" s="102">
        <v>2006</v>
      </c>
      <c r="B17" s="17">
        <f t="shared" ref="B17:J17" si="5">+B221</f>
        <v>283</v>
      </c>
      <c r="C17" s="21">
        <f t="shared" si="5"/>
        <v>92907288.260000005</v>
      </c>
      <c r="D17" s="21">
        <f t="shared" si="5"/>
        <v>15295554.399999999</v>
      </c>
      <c r="E17" s="21">
        <f t="shared" si="5"/>
        <v>403790.85699999996</v>
      </c>
      <c r="F17" s="21">
        <f t="shared" si="5"/>
        <v>1299916.4939999999</v>
      </c>
      <c r="G17" s="21">
        <f t="shared" si="5"/>
        <v>2929528.4359999998</v>
      </c>
      <c r="H17" s="21">
        <f t="shared" si="5"/>
        <v>27</v>
      </c>
      <c r="I17" s="28">
        <f t="shared" si="5"/>
        <v>19.039056404596167</v>
      </c>
      <c r="J17" s="29">
        <f t="shared" si="5"/>
        <v>20.73</v>
      </c>
    </row>
    <row r="18" spans="1:10" ht="12.75" customHeight="1" x14ac:dyDescent="0.25">
      <c r="A18" s="102">
        <v>2007</v>
      </c>
      <c r="B18" s="17">
        <f t="shared" ref="B18:J18" si="6">+B236</f>
        <v>286</v>
      </c>
      <c r="C18" s="21">
        <f t="shared" si="6"/>
        <v>106018649.79000001</v>
      </c>
      <c r="D18" s="21">
        <f t="shared" si="6"/>
        <v>23970379.287999999</v>
      </c>
      <c r="E18" s="21">
        <f t="shared" si="6"/>
        <v>316020.46700000006</v>
      </c>
      <c r="F18" s="21">
        <f t="shared" si="6"/>
        <v>874357.022</v>
      </c>
      <c r="G18" s="21">
        <f t="shared" si="6"/>
        <v>3221062.1650000005</v>
      </c>
      <c r="H18" s="21">
        <f t="shared" si="6"/>
        <v>33</v>
      </c>
      <c r="I18" s="28">
        <f t="shared" si="6"/>
        <v>22.403852125453881</v>
      </c>
      <c r="J18" s="29">
        <f t="shared" si="6"/>
        <v>22.4</v>
      </c>
    </row>
    <row r="19" spans="1:10" ht="12.75" customHeight="1" x14ac:dyDescent="0.25">
      <c r="A19" s="102">
        <v>2008</v>
      </c>
      <c r="B19" s="17">
        <f>+B251</f>
        <v>285</v>
      </c>
      <c r="C19" s="21">
        <f t="shared" ref="C19:J19" si="7">+C251</f>
        <v>84390049.079999998</v>
      </c>
      <c r="D19" s="21">
        <f t="shared" si="7"/>
        <v>19238581.208999999</v>
      </c>
      <c r="E19" s="21">
        <f t="shared" si="7"/>
        <v>74784.308000000019</v>
      </c>
      <c r="F19" s="21">
        <f t="shared" si="7"/>
        <v>1015019.5920000001</v>
      </c>
      <c r="G19" s="21">
        <f t="shared" si="7"/>
        <v>5029049.5719999997</v>
      </c>
      <c r="H19" s="21">
        <f t="shared" si="7"/>
        <v>33</v>
      </c>
      <c r="I19" s="28">
        <f t="shared" si="7"/>
        <v>19.904743088898289</v>
      </c>
      <c r="J19" s="29">
        <f t="shared" si="7"/>
        <v>13.2</v>
      </c>
    </row>
    <row r="20" spans="1:10" ht="12.75" customHeight="1" x14ac:dyDescent="0.25">
      <c r="A20" s="102">
        <v>2009</v>
      </c>
      <c r="B20" s="17">
        <f>+B266</f>
        <v>285</v>
      </c>
      <c r="C20" s="21">
        <f t="shared" ref="C20:J20" si="8">+C266</f>
        <v>117057426.5</v>
      </c>
      <c r="D20" s="21">
        <f t="shared" si="8"/>
        <v>21082698.338</v>
      </c>
      <c r="E20" s="21">
        <f t="shared" si="8"/>
        <v>30570.987999999998</v>
      </c>
      <c r="F20" s="21">
        <f t="shared" si="8"/>
        <v>1314123.916</v>
      </c>
      <c r="G20" s="21">
        <f t="shared" si="8"/>
        <v>4802878.7429999998</v>
      </c>
      <c r="H20" s="21">
        <f t="shared" si="8"/>
        <v>31</v>
      </c>
      <c r="I20" s="28">
        <f t="shared" si="8"/>
        <v>20.753782639884896</v>
      </c>
      <c r="J20" s="29">
        <f t="shared" si="8"/>
        <v>20.02</v>
      </c>
    </row>
    <row r="21" spans="1:10" ht="12.75" customHeight="1" x14ac:dyDescent="0.25">
      <c r="A21" s="102">
        <v>2010</v>
      </c>
      <c r="B21" s="17">
        <f>+B281</f>
        <v>325</v>
      </c>
      <c r="C21" s="21">
        <f t="shared" ref="C21:J21" si="9">+C281</f>
        <v>159844376.63</v>
      </c>
      <c r="D21" s="21">
        <f t="shared" si="9"/>
        <v>28115990.309000004</v>
      </c>
      <c r="E21" s="21">
        <f t="shared" si="9"/>
        <v>0</v>
      </c>
      <c r="F21" s="21">
        <f t="shared" si="9"/>
        <v>1627217.27</v>
      </c>
      <c r="G21" s="21">
        <f t="shared" si="9"/>
        <v>4733852.739000001</v>
      </c>
      <c r="H21" s="21">
        <f t="shared" si="9"/>
        <v>21</v>
      </c>
      <c r="I21" s="28">
        <f t="shared" si="9"/>
        <v>19.993533966613306</v>
      </c>
      <c r="J21" s="29">
        <f t="shared" si="9"/>
        <v>22.26</v>
      </c>
    </row>
    <row r="22" spans="1:10" ht="12.75" customHeight="1" x14ac:dyDescent="0.25">
      <c r="A22" s="102">
        <v>2011</v>
      </c>
      <c r="B22" s="17">
        <f t="shared" ref="B22:J22" si="10">+B296</f>
        <v>403</v>
      </c>
      <c r="C22" s="21">
        <f t="shared" si="10"/>
        <v>140381035.91999999</v>
      </c>
      <c r="D22" s="21">
        <f t="shared" si="10"/>
        <v>27260702.477000002</v>
      </c>
      <c r="E22" s="21">
        <f t="shared" si="10"/>
        <v>0</v>
      </c>
      <c r="F22" s="21">
        <f t="shared" si="10"/>
        <v>163428985.86700001</v>
      </c>
      <c r="G22" s="21">
        <f t="shared" si="10"/>
        <v>5104388.5879999995</v>
      </c>
      <c r="H22" s="21">
        <f t="shared" si="10"/>
        <v>35</v>
      </c>
      <c r="I22" s="28">
        <f t="shared" si="10"/>
        <v>18.29937311288251</v>
      </c>
      <c r="J22" s="29">
        <f t="shared" si="10"/>
        <v>16.87</v>
      </c>
    </row>
    <row r="23" spans="1:10" ht="12.75" customHeight="1" x14ac:dyDescent="0.25">
      <c r="A23" s="102">
        <v>2012</v>
      </c>
      <c r="B23" s="17">
        <f>+B311</f>
        <v>704</v>
      </c>
      <c r="C23" s="21">
        <f t="shared" ref="C23:I23" si="11">+C311</f>
        <v>149959083.88</v>
      </c>
      <c r="D23" s="21">
        <f t="shared" si="11"/>
        <v>22292023.256999999</v>
      </c>
      <c r="E23" s="21">
        <f t="shared" si="11"/>
        <v>0</v>
      </c>
      <c r="F23" s="21">
        <f t="shared" si="11"/>
        <v>2872739.835</v>
      </c>
      <c r="G23" s="21">
        <f>+G311</f>
        <v>6188242.1700000009</v>
      </c>
      <c r="H23" s="21">
        <f t="shared" si="11"/>
        <v>20</v>
      </c>
      <c r="I23" s="28">
        <f t="shared" si="11"/>
        <v>15.103366206255624</v>
      </c>
      <c r="J23" s="29">
        <f>+J311</f>
        <v>26.35</v>
      </c>
    </row>
    <row r="24" spans="1:10" ht="12.75" customHeight="1" x14ac:dyDescent="0.25">
      <c r="A24" s="102">
        <v>2013</v>
      </c>
      <c r="B24" s="17">
        <f t="shared" ref="B24:J24" si="12">+B326</f>
        <v>773</v>
      </c>
      <c r="C24" s="21">
        <f t="shared" si="12"/>
        <v>139323110</v>
      </c>
      <c r="D24" s="21">
        <f t="shared" si="12"/>
        <v>23350715.548</v>
      </c>
      <c r="E24" s="21">
        <f t="shared" si="12"/>
        <v>0</v>
      </c>
      <c r="F24" s="21">
        <f t="shared" si="12"/>
        <v>5231089.5409999993</v>
      </c>
      <c r="G24" s="21">
        <f t="shared" si="12"/>
        <v>16651229.226</v>
      </c>
      <c r="H24" s="21">
        <f t="shared" si="12"/>
        <v>23</v>
      </c>
      <c r="I24" s="28">
        <f t="shared" si="12"/>
        <v>15.780112150650325</v>
      </c>
      <c r="J24" s="29">
        <f t="shared" si="12"/>
        <v>19.100000000000001</v>
      </c>
    </row>
    <row r="25" spans="1:10" ht="12.75" customHeight="1" x14ac:dyDescent="0.25">
      <c r="A25" s="102">
        <v>2014</v>
      </c>
      <c r="B25" s="17">
        <f>+B341</f>
        <v>1010</v>
      </c>
      <c r="C25" s="21">
        <f t="shared" ref="C25:J25" si="13">+C341</f>
        <v>141545012</v>
      </c>
      <c r="D25" s="21">
        <f t="shared" si="13"/>
        <v>19296303.729999997</v>
      </c>
      <c r="E25" s="21">
        <f t="shared" si="13"/>
        <v>0</v>
      </c>
      <c r="F25" s="21">
        <f t="shared" si="13"/>
        <v>1045677.203</v>
      </c>
      <c r="G25" s="21">
        <f t="shared" si="13"/>
        <v>4614671.1109999996</v>
      </c>
      <c r="H25" s="21">
        <f t="shared" si="13"/>
        <v>23</v>
      </c>
      <c r="I25" s="28">
        <f t="shared" si="13"/>
        <v>13.603373719906118</v>
      </c>
      <c r="J25" s="29">
        <f t="shared" si="13"/>
        <v>19.690000000000001</v>
      </c>
    </row>
    <row r="26" spans="1:10" ht="12.75" customHeight="1" x14ac:dyDescent="0.25">
      <c r="A26" s="20"/>
      <c r="B26" s="17"/>
      <c r="C26" s="21"/>
      <c r="D26" s="21"/>
      <c r="E26" s="21"/>
      <c r="F26" s="24"/>
      <c r="G26" s="21"/>
      <c r="H26" s="21"/>
      <c r="I26" s="28"/>
      <c r="J26" s="30"/>
    </row>
    <row r="27" spans="1:10" ht="12.75" customHeight="1" x14ac:dyDescent="0.25">
      <c r="A27" s="13" t="s">
        <v>12</v>
      </c>
      <c r="B27" s="14"/>
      <c r="C27" s="21"/>
      <c r="D27" s="21"/>
      <c r="E27" s="21"/>
      <c r="F27" s="24"/>
      <c r="G27" s="21"/>
      <c r="H27" s="21"/>
      <c r="I27" s="28"/>
      <c r="J27" s="30"/>
    </row>
    <row r="28" spans="1:10" ht="12.75" hidden="1" customHeight="1" x14ac:dyDescent="0.25">
      <c r="A28" s="31">
        <v>1994</v>
      </c>
      <c r="B28" s="14"/>
      <c r="C28" s="21"/>
      <c r="D28" s="21"/>
      <c r="E28" s="21"/>
      <c r="F28" s="24"/>
      <c r="G28" s="21"/>
      <c r="H28" s="21"/>
      <c r="I28" s="28"/>
      <c r="J28" s="30"/>
    </row>
    <row r="29" spans="1:10" ht="12.75" hidden="1" customHeight="1" x14ac:dyDescent="0.25">
      <c r="A29" s="20" t="s">
        <v>13</v>
      </c>
      <c r="B29" s="32"/>
      <c r="C29" s="33"/>
      <c r="D29" s="33"/>
      <c r="E29" s="21">
        <v>0</v>
      </c>
      <c r="F29" s="24">
        <v>42598.841</v>
      </c>
      <c r="G29" s="33"/>
      <c r="H29" s="33"/>
      <c r="I29" s="34"/>
      <c r="J29" s="35"/>
    </row>
    <row r="30" spans="1:10" ht="12.75" hidden="1" customHeight="1" x14ac:dyDescent="0.25">
      <c r="A30" s="20" t="s">
        <v>14</v>
      </c>
      <c r="B30" s="32"/>
      <c r="C30" s="33"/>
      <c r="D30" s="33"/>
      <c r="E30" s="21">
        <v>0</v>
      </c>
      <c r="F30" s="24">
        <v>11615.455</v>
      </c>
      <c r="G30" s="33"/>
      <c r="H30" s="33"/>
      <c r="I30" s="34"/>
      <c r="J30" s="35"/>
    </row>
    <row r="31" spans="1:10" ht="12.75" hidden="1" customHeight="1" x14ac:dyDescent="0.25">
      <c r="A31" s="20" t="s">
        <v>15</v>
      </c>
      <c r="B31" s="32"/>
      <c r="C31" s="33"/>
      <c r="D31" s="33"/>
      <c r="E31" s="21">
        <v>0</v>
      </c>
      <c r="F31" s="24">
        <v>803.87</v>
      </c>
      <c r="G31" s="33"/>
      <c r="H31" s="33"/>
      <c r="I31" s="34"/>
      <c r="J31" s="35"/>
    </row>
    <row r="32" spans="1:10" ht="12.75" hidden="1" customHeight="1" x14ac:dyDescent="0.25">
      <c r="A32" s="20" t="s">
        <v>16</v>
      </c>
      <c r="B32" s="32"/>
      <c r="C32" s="33"/>
      <c r="D32" s="33"/>
      <c r="E32" s="21">
        <v>0</v>
      </c>
      <c r="F32" s="24">
        <v>7834.5919999999996</v>
      </c>
      <c r="G32" s="33"/>
      <c r="H32" s="33"/>
      <c r="I32" s="34"/>
      <c r="J32" s="35"/>
    </row>
    <row r="33" spans="1:10" ht="12.75" hidden="1" customHeight="1" x14ac:dyDescent="0.25">
      <c r="A33" s="20" t="s">
        <v>17</v>
      </c>
      <c r="B33" s="32"/>
      <c r="C33" s="33"/>
      <c r="D33" s="33"/>
      <c r="E33" s="21">
        <v>0</v>
      </c>
      <c r="F33" s="24">
        <v>1301.748</v>
      </c>
      <c r="G33" s="33"/>
      <c r="H33" s="33"/>
      <c r="I33" s="34"/>
      <c r="J33" s="35"/>
    </row>
    <row r="34" spans="1:10" ht="12.75" hidden="1" customHeight="1" x14ac:dyDescent="0.25">
      <c r="A34" s="20" t="s">
        <v>18</v>
      </c>
      <c r="B34" s="32"/>
      <c r="C34" s="33"/>
      <c r="D34" s="33"/>
      <c r="E34" s="21">
        <v>0</v>
      </c>
      <c r="F34" s="24">
        <v>13686.621999999999</v>
      </c>
      <c r="G34" s="33"/>
      <c r="H34" s="33"/>
      <c r="I34" s="34"/>
      <c r="J34" s="35"/>
    </row>
    <row r="35" spans="1:10" ht="12.75" hidden="1" customHeight="1" x14ac:dyDescent="0.25">
      <c r="A35" s="20" t="s">
        <v>19</v>
      </c>
      <c r="B35" s="32"/>
      <c r="C35" s="33"/>
      <c r="D35" s="33"/>
      <c r="E35" s="21">
        <v>0</v>
      </c>
      <c r="F35" s="24">
        <v>115919.663</v>
      </c>
      <c r="G35" s="33"/>
      <c r="H35" s="33"/>
      <c r="I35" s="34"/>
      <c r="J35" s="35"/>
    </row>
    <row r="36" spans="1:10" ht="12.75" hidden="1" customHeight="1" x14ac:dyDescent="0.25">
      <c r="A36" s="20" t="s">
        <v>20</v>
      </c>
      <c r="B36" s="32"/>
      <c r="C36" s="33"/>
      <c r="D36" s="33"/>
      <c r="E36" s="21">
        <v>0</v>
      </c>
      <c r="F36" s="24">
        <v>73091.854000000007</v>
      </c>
      <c r="G36" s="33"/>
      <c r="H36" s="33"/>
      <c r="I36" s="34"/>
      <c r="J36" s="35"/>
    </row>
    <row r="37" spans="1:10" ht="12.75" hidden="1" customHeight="1" x14ac:dyDescent="0.25">
      <c r="A37" s="20" t="s">
        <v>21</v>
      </c>
      <c r="B37" s="32"/>
      <c r="C37" s="33"/>
      <c r="D37" s="33"/>
      <c r="E37" s="21">
        <v>0</v>
      </c>
      <c r="F37" s="24">
        <v>42761.957000000002</v>
      </c>
      <c r="G37" s="33"/>
      <c r="H37" s="33"/>
      <c r="I37" s="34"/>
      <c r="J37" s="35"/>
    </row>
    <row r="38" spans="1:10" ht="12.75" hidden="1" customHeight="1" x14ac:dyDescent="0.25">
      <c r="A38" s="20" t="s">
        <v>22</v>
      </c>
      <c r="B38" s="32"/>
      <c r="C38" s="33"/>
      <c r="D38" s="33"/>
      <c r="E38" s="21">
        <v>0</v>
      </c>
      <c r="F38" s="24">
        <v>39463.553</v>
      </c>
      <c r="G38" s="33"/>
      <c r="H38" s="33"/>
      <c r="I38" s="34"/>
      <c r="J38" s="35"/>
    </row>
    <row r="39" spans="1:10" ht="12.75" hidden="1" customHeight="1" x14ac:dyDescent="0.25">
      <c r="A39" s="20" t="s">
        <v>23</v>
      </c>
      <c r="B39" s="32"/>
      <c r="C39" s="33"/>
      <c r="D39" s="33"/>
      <c r="E39" s="21">
        <v>0</v>
      </c>
      <c r="F39" s="24">
        <v>2960.2379999999998</v>
      </c>
      <c r="G39" s="33"/>
      <c r="H39" s="33"/>
      <c r="I39" s="34"/>
      <c r="J39" s="35"/>
    </row>
    <row r="40" spans="1:10" ht="12.75" hidden="1" customHeight="1" x14ac:dyDescent="0.25">
      <c r="A40" s="20" t="s">
        <v>24</v>
      </c>
      <c r="B40" s="32"/>
      <c r="C40" s="33"/>
      <c r="D40" s="33"/>
      <c r="E40" s="21">
        <v>0</v>
      </c>
      <c r="F40" s="24">
        <v>35099.968000000001</v>
      </c>
      <c r="G40" s="33"/>
      <c r="H40" s="33"/>
      <c r="I40" s="34"/>
      <c r="J40" s="35"/>
    </row>
    <row r="41" spans="1:10" ht="12.75" hidden="1" customHeight="1" x14ac:dyDescent="0.25">
      <c r="A41" s="36" t="s">
        <v>25</v>
      </c>
      <c r="B41" s="17"/>
      <c r="C41" s="21"/>
      <c r="D41" s="21"/>
      <c r="E41" s="37">
        <f>SUM(E29:E40)</f>
        <v>0</v>
      </c>
      <c r="F41" s="37">
        <f>SUM(F29:F40)</f>
        <v>387138.36100000003</v>
      </c>
      <c r="G41" s="21"/>
      <c r="H41" s="21"/>
      <c r="I41" s="28"/>
      <c r="J41" s="30"/>
    </row>
    <row r="42" spans="1:10" ht="12.75" hidden="1" customHeight="1" x14ac:dyDescent="0.25">
      <c r="A42" s="36"/>
      <c r="B42" s="17"/>
      <c r="C42" s="21"/>
      <c r="D42" s="21"/>
      <c r="E42" s="37"/>
      <c r="F42" s="37"/>
      <c r="G42" s="21"/>
      <c r="H42" s="21"/>
      <c r="I42" s="28"/>
      <c r="J42" s="30"/>
    </row>
    <row r="43" spans="1:10" ht="12.75" hidden="1" customHeight="1" x14ac:dyDescent="0.25">
      <c r="A43" s="31">
        <v>1995</v>
      </c>
      <c r="B43" s="14"/>
      <c r="C43" s="21"/>
      <c r="D43" s="21"/>
      <c r="E43" s="21"/>
      <c r="F43" s="24"/>
      <c r="G43" s="21"/>
      <c r="H43" s="21"/>
      <c r="I43" s="28"/>
      <c r="J43" s="30"/>
    </row>
    <row r="44" spans="1:10" ht="12.75" hidden="1" customHeight="1" x14ac:dyDescent="0.25">
      <c r="A44" s="20" t="s">
        <v>13</v>
      </c>
      <c r="B44" s="32"/>
      <c r="C44" s="33"/>
      <c r="D44" s="33"/>
      <c r="E44" s="21">
        <v>0</v>
      </c>
      <c r="F44" s="24">
        <v>961.99800000000005</v>
      </c>
      <c r="G44" s="33"/>
      <c r="H44" s="33"/>
      <c r="I44" s="34"/>
      <c r="J44" s="35"/>
    </row>
    <row r="45" spans="1:10" ht="12.75" hidden="1" customHeight="1" x14ac:dyDescent="0.25">
      <c r="A45" s="20" t="s">
        <v>14</v>
      </c>
      <c r="B45" s="32"/>
      <c r="C45" s="33"/>
      <c r="D45" s="33"/>
      <c r="E45" s="21">
        <v>0</v>
      </c>
      <c r="F45" s="24">
        <v>8586.357</v>
      </c>
      <c r="G45" s="33"/>
      <c r="H45" s="33"/>
      <c r="I45" s="34"/>
      <c r="J45" s="35"/>
    </row>
    <row r="46" spans="1:10" ht="12.75" hidden="1" customHeight="1" x14ac:dyDescent="0.25">
      <c r="A46" s="20" t="s">
        <v>15</v>
      </c>
      <c r="B46" s="32"/>
      <c r="C46" s="33"/>
      <c r="D46" s="33"/>
      <c r="E46" s="21">
        <v>0</v>
      </c>
      <c r="F46" s="24">
        <v>14194.947</v>
      </c>
      <c r="G46" s="33"/>
      <c r="H46" s="33"/>
      <c r="I46" s="34"/>
      <c r="J46" s="35"/>
    </row>
    <row r="47" spans="1:10" ht="12.75" hidden="1" customHeight="1" x14ac:dyDescent="0.25">
      <c r="A47" s="20" t="s">
        <v>16</v>
      </c>
      <c r="B47" s="32"/>
      <c r="C47" s="33"/>
      <c r="D47" s="33"/>
      <c r="E47" s="21">
        <v>0</v>
      </c>
      <c r="F47" s="24">
        <v>100550.463</v>
      </c>
      <c r="G47" s="33"/>
      <c r="H47" s="33"/>
      <c r="I47" s="34"/>
      <c r="J47" s="35"/>
    </row>
    <row r="48" spans="1:10" ht="12.75" hidden="1" customHeight="1" x14ac:dyDescent="0.25">
      <c r="A48" s="20" t="s">
        <v>17</v>
      </c>
      <c r="B48" s="32"/>
      <c r="C48" s="33"/>
      <c r="D48" s="33"/>
      <c r="E48" s="21">
        <v>0</v>
      </c>
      <c r="F48" s="24">
        <v>18867.189999999999</v>
      </c>
      <c r="G48" s="33"/>
      <c r="H48" s="33"/>
      <c r="I48" s="34"/>
      <c r="J48" s="35"/>
    </row>
    <row r="49" spans="1:10" ht="12.75" hidden="1" customHeight="1" x14ac:dyDescent="0.25">
      <c r="A49" s="20" t="s">
        <v>18</v>
      </c>
      <c r="B49" s="32"/>
      <c r="C49" s="33"/>
      <c r="D49" s="33"/>
      <c r="E49" s="21">
        <v>0</v>
      </c>
      <c r="F49" s="24">
        <v>12443.768</v>
      </c>
      <c r="G49" s="33"/>
      <c r="H49" s="33"/>
      <c r="I49" s="34"/>
      <c r="J49" s="35"/>
    </row>
    <row r="50" spans="1:10" ht="12.75" hidden="1" customHeight="1" x14ac:dyDescent="0.25">
      <c r="A50" s="20" t="s">
        <v>19</v>
      </c>
      <c r="B50" s="32"/>
      <c r="C50" s="33"/>
      <c r="D50" s="33"/>
      <c r="E50" s="21">
        <v>0</v>
      </c>
      <c r="F50" s="24">
        <v>16672.121999999999</v>
      </c>
      <c r="G50" s="33"/>
      <c r="H50" s="33"/>
      <c r="I50" s="34"/>
      <c r="J50" s="35"/>
    </row>
    <row r="51" spans="1:10" ht="12.75" hidden="1" customHeight="1" x14ac:dyDescent="0.25">
      <c r="A51" s="20" t="s">
        <v>20</v>
      </c>
      <c r="B51" s="32"/>
      <c r="C51" s="33"/>
      <c r="D51" s="33"/>
      <c r="E51" s="21">
        <v>0</v>
      </c>
      <c r="F51" s="24">
        <v>28820.919000000002</v>
      </c>
      <c r="G51" s="33"/>
      <c r="H51" s="33"/>
      <c r="I51" s="34"/>
      <c r="J51" s="35"/>
    </row>
    <row r="52" spans="1:10" ht="12.75" hidden="1" customHeight="1" x14ac:dyDescent="0.25">
      <c r="A52" s="20" t="s">
        <v>21</v>
      </c>
      <c r="B52" s="32"/>
      <c r="C52" s="33"/>
      <c r="D52" s="33"/>
      <c r="E52" s="21">
        <v>0</v>
      </c>
      <c r="F52" s="24">
        <v>28843.422999999999</v>
      </c>
      <c r="G52" s="33"/>
      <c r="H52" s="33"/>
      <c r="I52" s="34"/>
      <c r="J52" s="35"/>
    </row>
    <row r="53" spans="1:10" ht="12.75" hidden="1" customHeight="1" x14ac:dyDescent="0.25">
      <c r="A53" s="20" t="s">
        <v>22</v>
      </c>
      <c r="B53" s="32"/>
      <c r="C53" s="33"/>
      <c r="D53" s="33"/>
      <c r="E53" s="21">
        <v>0</v>
      </c>
      <c r="F53" s="24">
        <v>5116.7860000000001</v>
      </c>
      <c r="G53" s="33"/>
      <c r="H53" s="33"/>
      <c r="I53" s="34"/>
      <c r="J53" s="35"/>
    </row>
    <row r="54" spans="1:10" ht="12.75" hidden="1" customHeight="1" x14ac:dyDescent="0.25">
      <c r="A54" s="20" t="s">
        <v>23</v>
      </c>
      <c r="B54" s="32"/>
      <c r="C54" s="33"/>
      <c r="D54" s="33"/>
      <c r="E54" s="21">
        <v>0</v>
      </c>
      <c r="F54" s="24">
        <v>9138.8389999999999</v>
      </c>
      <c r="G54" s="33"/>
      <c r="H54" s="33"/>
      <c r="I54" s="34"/>
      <c r="J54" s="35"/>
    </row>
    <row r="55" spans="1:10" ht="12.75" hidden="1" customHeight="1" x14ac:dyDescent="0.25">
      <c r="A55" s="20" t="s">
        <v>24</v>
      </c>
      <c r="B55" s="32"/>
      <c r="C55" s="33"/>
      <c r="D55" s="33"/>
      <c r="E55" s="21">
        <v>0</v>
      </c>
      <c r="F55" s="24">
        <v>108768.795</v>
      </c>
      <c r="G55" s="33"/>
      <c r="H55" s="33"/>
      <c r="I55" s="34"/>
      <c r="J55" s="35"/>
    </row>
    <row r="56" spans="1:10" ht="12.75" hidden="1" customHeight="1" x14ac:dyDescent="0.25">
      <c r="A56" s="36" t="s">
        <v>25</v>
      </c>
      <c r="B56" s="17"/>
      <c r="C56" s="21"/>
      <c r="D56" s="21"/>
      <c r="E56" s="37">
        <f>SUM(E44:E55)</f>
        <v>0</v>
      </c>
      <c r="F56" s="37">
        <f>SUM(F44:F55)</f>
        <v>352965.60700000002</v>
      </c>
      <c r="G56" s="21"/>
      <c r="H56" s="21"/>
      <c r="I56" s="28"/>
      <c r="J56" s="30"/>
    </row>
    <row r="57" spans="1:10" ht="12.75" hidden="1" customHeight="1" x14ac:dyDescent="0.25">
      <c r="A57" s="36"/>
      <c r="B57" s="17"/>
      <c r="C57" s="21"/>
      <c r="D57" s="21"/>
      <c r="E57" s="37"/>
      <c r="F57" s="37"/>
      <c r="G57" s="21"/>
      <c r="H57" s="21"/>
      <c r="I57" s="28"/>
      <c r="J57" s="30"/>
    </row>
    <row r="58" spans="1:10" ht="12.75" hidden="1" customHeight="1" x14ac:dyDescent="0.25">
      <c r="A58" s="31">
        <v>1996</v>
      </c>
      <c r="B58" s="14"/>
      <c r="C58" s="21"/>
      <c r="D58" s="21"/>
      <c r="E58" s="21"/>
      <c r="F58" s="24"/>
      <c r="G58" s="21"/>
      <c r="H58" s="21"/>
      <c r="I58" s="28"/>
      <c r="J58" s="30"/>
    </row>
    <row r="59" spans="1:10" ht="12.75" hidden="1" customHeight="1" x14ac:dyDescent="0.25">
      <c r="A59" s="20" t="s">
        <v>13</v>
      </c>
      <c r="B59" s="32"/>
      <c r="C59" s="33"/>
      <c r="D59" s="33"/>
      <c r="E59" s="21">
        <v>0</v>
      </c>
      <c r="F59" s="24">
        <v>56377.290999999997</v>
      </c>
      <c r="G59" s="33"/>
      <c r="H59" s="33"/>
      <c r="I59" s="34"/>
      <c r="J59" s="35"/>
    </row>
    <row r="60" spans="1:10" ht="12.75" hidden="1" customHeight="1" x14ac:dyDescent="0.25">
      <c r="A60" s="20" t="s">
        <v>14</v>
      </c>
      <c r="B60" s="32"/>
      <c r="C60" s="33"/>
      <c r="D60" s="33"/>
      <c r="E60" s="21">
        <v>0</v>
      </c>
      <c r="F60" s="24">
        <v>30667.115000000002</v>
      </c>
      <c r="G60" s="33"/>
      <c r="H60" s="33"/>
      <c r="I60" s="34"/>
      <c r="J60" s="35"/>
    </row>
    <row r="61" spans="1:10" ht="12.75" hidden="1" customHeight="1" x14ac:dyDescent="0.25">
      <c r="A61" s="20" t="s">
        <v>15</v>
      </c>
      <c r="B61" s="32"/>
      <c r="C61" s="33"/>
      <c r="D61" s="33"/>
      <c r="E61" s="21">
        <v>0</v>
      </c>
      <c r="F61" s="24">
        <v>90012.837</v>
      </c>
      <c r="G61" s="33"/>
      <c r="H61" s="33"/>
      <c r="I61" s="34"/>
      <c r="J61" s="35"/>
    </row>
    <row r="62" spans="1:10" ht="12.75" hidden="1" customHeight="1" x14ac:dyDescent="0.25">
      <c r="A62" s="20" t="s">
        <v>16</v>
      </c>
      <c r="B62" s="32"/>
      <c r="C62" s="33"/>
      <c r="D62" s="33"/>
      <c r="E62" s="21">
        <v>0</v>
      </c>
      <c r="F62" s="24">
        <v>12835.454</v>
      </c>
      <c r="G62" s="33"/>
      <c r="H62" s="33"/>
      <c r="I62" s="34"/>
      <c r="J62" s="35"/>
    </row>
    <row r="63" spans="1:10" ht="12.75" hidden="1" customHeight="1" x14ac:dyDescent="0.25">
      <c r="A63" s="20" t="s">
        <v>17</v>
      </c>
      <c r="B63" s="32"/>
      <c r="C63" s="33"/>
      <c r="D63" s="33"/>
      <c r="E63" s="21">
        <v>0</v>
      </c>
      <c r="F63" s="24">
        <v>12398.929</v>
      </c>
      <c r="G63" s="33"/>
      <c r="H63" s="33"/>
      <c r="I63" s="34"/>
      <c r="J63" s="35"/>
    </row>
    <row r="64" spans="1:10" ht="12.75" hidden="1" customHeight="1" x14ac:dyDescent="0.25">
      <c r="A64" s="20" t="s">
        <v>18</v>
      </c>
      <c r="B64" s="32"/>
      <c r="C64" s="33"/>
      <c r="D64" s="33"/>
      <c r="E64" s="21">
        <v>0</v>
      </c>
      <c r="F64" s="24">
        <v>21069.457999999999</v>
      </c>
      <c r="G64" s="33"/>
      <c r="H64" s="33"/>
      <c r="I64" s="34"/>
      <c r="J64" s="35"/>
    </row>
    <row r="65" spans="1:10" ht="12.75" hidden="1" customHeight="1" x14ac:dyDescent="0.25">
      <c r="A65" s="20" t="s">
        <v>19</v>
      </c>
      <c r="B65" s="32"/>
      <c r="C65" s="33"/>
      <c r="D65" s="33"/>
      <c r="E65" s="21">
        <v>0</v>
      </c>
      <c r="F65" s="24">
        <v>104936.467</v>
      </c>
      <c r="G65" s="33"/>
      <c r="H65" s="33"/>
      <c r="I65" s="34"/>
      <c r="J65" s="35"/>
    </row>
    <row r="66" spans="1:10" ht="12.75" hidden="1" customHeight="1" x14ac:dyDescent="0.25">
      <c r="A66" s="20" t="s">
        <v>20</v>
      </c>
      <c r="B66" s="32"/>
      <c r="C66" s="33"/>
      <c r="D66" s="33"/>
      <c r="E66" s="21">
        <v>0</v>
      </c>
      <c r="F66" s="24">
        <v>6320.3339999999998</v>
      </c>
      <c r="G66" s="33"/>
      <c r="H66" s="33"/>
      <c r="I66" s="34"/>
      <c r="J66" s="35"/>
    </row>
    <row r="67" spans="1:10" ht="12.75" hidden="1" customHeight="1" x14ac:dyDescent="0.25">
      <c r="A67" s="20" t="s">
        <v>21</v>
      </c>
      <c r="B67" s="32"/>
      <c r="C67" s="33"/>
      <c r="D67" s="33"/>
      <c r="E67" s="21">
        <v>0</v>
      </c>
      <c r="F67" s="24">
        <v>90830.770999999993</v>
      </c>
      <c r="G67" s="33"/>
      <c r="H67" s="33"/>
      <c r="I67" s="34"/>
      <c r="J67" s="35"/>
    </row>
    <row r="68" spans="1:10" ht="12.75" hidden="1" customHeight="1" x14ac:dyDescent="0.25">
      <c r="A68" s="20" t="s">
        <v>22</v>
      </c>
      <c r="B68" s="32"/>
      <c r="C68" s="33"/>
      <c r="D68" s="33"/>
      <c r="E68" s="21">
        <v>0</v>
      </c>
      <c r="F68" s="24">
        <v>1795.0530000000001</v>
      </c>
      <c r="G68" s="33"/>
      <c r="H68" s="33"/>
      <c r="I68" s="34"/>
      <c r="J68" s="35"/>
    </row>
    <row r="69" spans="1:10" ht="12.75" hidden="1" customHeight="1" x14ac:dyDescent="0.25">
      <c r="A69" s="20" t="s">
        <v>23</v>
      </c>
      <c r="B69" s="32"/>
      <c r="C69" s="33"/>
      <c r="D69" s="33"/>
      <c r="E69" s="21">
        <v>0</v>
      </c>
      <c r="F69" s="24">
        <v>64875.016000000003</v>
      </c>
      <c r="G69" s="33"/>
      <c r="H69" s="33"/>
      <c r="I69" s="34"/>
      <c r="J69" s="35"/>
    </row>
    <row r="70" spans="1:10" ht="12.75" hidden="1" customHeight="1" x14ac:dyDescent="0.25">
      <c r="A70" s="20" t="s">
        <v>24</v>
      </c>
      <c r="B70" s="32"/>
      <c r="C70" s="33"/>
      <c r="D70" s="33"/>
      <c r="E70" s="21">
        <v>0</v>
      </c>
      <c r="F70" s="24">
        <v>241356.15100000001</v>
      </c>
      <c r="G70" s="33"/>
      <c r="H70" s="33"/>
      <c r="I70" s="34"/>
      <c r="J70" s="35"/>
    </row>
    <row r="71" spans="1:10" ht="12.75" hidden="1" customHeight="1" x14ac:dyDescent="0.25">
      <c r="A71" s="36" t="s">
        <v>25</v>
      </c>
      <c r="B71" s="17"/>
      <c r="C71" s="21"/>
      <c r="D71" s="21"/>
      <c r="E71" s="37">
        <f>SUM(E59:E70)</f>
        <v>0</v>
      </c>
      <c r="F71" s="37">
        <f>SUM(F59:F70)</f>
        <v>733474.87600000005</v>
      </c>
      <c r="G71" s="21"/>
      <c r="H71" s="21"/>
      <c r="I71" s="28"/>
      <c r="J71" s="30"/>
    </row>
    <row r="72" spans="1:10" ht="12.75" hidden="1" customHeight="1" x14ac:dyDescent="0.25">
      <c r="A72" s="36"/>
      <c r="B72" s="17"/>
      <c r="C72" s="21"/>
      <c r="D72" s="21"/>
      <c r="E72" s="37"/>
      <c r="F72" s="37"/>
      <c r="G72" s="21"/>
      <c r="H72" s="21"/>
      <c r="I72" s="28"/>
      <c r="J72" s="30"/>
    </row>
    <row r="73" spans="1:10" ht="12.75" hidden="1" customHeight="1" x14ac:dyDescent="0.25">
      <c r="A73" s="31">
        <v>1997</v>
      </c>
      <c r="B73" s="14"/>
      <c r="C73" s="21"/>
      <c r="D73" s="21"/>
      <c r="E73" s="21"/>
      <c r="F73" s="24"/>
      <c r="G73" s="21"/>
      <c r="H73" s="21"/>
      <c r="I73" s="28"/>
      <c r="J73" s="30"/>
    </row>
    <row r="74" spans="1:10" ht="12.75" hidden="1" customHeight="1" x14ac:dyDescent="0.25">
      <c r="A74" s="20" t="s">
        <v>13</v>
      </c>
      <c r="B74" s="32"/>
      <c r="C74" s="33"/>
      <c r="D74" s="33"/>
      <c r="E74" s="21">
        <v>0</v>
      </c>
      <c r="F74" s="24">
        <v>2213.1379999999999</v>
      </c>
      <c r="G74" s="33"/>
      <c r="H74" s="33"/>
      <c r="I74" s="34"/>
      <c r="J74" s="35"/>
    </row>
    <row r="75" spans="1:10" ht="12.75" hidden="1" customHeight="1" x14ac:dyDescent="0.25">
      <c r="A75" s="20" t="s">
        <v>14</v>
      </c>
      <c r="B75" s="32"/>
      <c r="C75" s="33"/>
      <c r="D75" s="33"/>
      <c r="E75" s="21">
        <v>0</v>
      </c>
      <c r="F75" s="24">
        <v>44968.603000000003</v>
      </c>
      <c r="G75" s="33"/>
      <c r="H75" s="33"/>
      <c r="I75" s="34"/>
      <c r="J75" s="35"/>
    </row>
    <row r="76" spans="1:10" ht="12.75" hidden="1" customHeight="1" x14ac:dyDescent="0.25">
      <c r="A76" s="20" t="s">
        <v>15</v>
      </c>
      <c r="B76" s="32"/>
      <c r="C76" s="33"/>
      <c r="D76" s="33"/>
      <c r="E76" s="21">
        <v>0</v>
      </c>
      <c r="F76" s="24">
        <v>17284.226999999999</v>
      </c>
      <c r="G76" s="33"/>
      <c r="H76" s="33"/>
      <c r="I76" s="34"/>
      <c r="J76" s="35"/>
    </row>
    <row r="77" spans="1:10" ht="12.75" hidden="1" customHeight="1" x14ac:dyDescent="0.25">
      <c r="A77" s="20" t="s">
        <v>16</v>
      </c>
      <c r="B77" s="32"/>
      <c r="C77" s="33"/>
      <c r="D77" s="33"/>
      <c r="E77" s="21">
        <v>0</v>
      </c>
      <c r="F77" s="24">
        <v>13177.691999999999</v>
      </c>
      <c r="G77" s="33"/>
      <c r="H77" s="33"/>
      <c r="I77" s="34"/>
      <c r="J77" s="35"/>
    </row>
    <row r="78" spans="1:10" ht="12.75" hidden="1" customHeight="1" x14ac:dyDescent="0.25">
      <c r="A78" s="20" t="s">
        <v>17</v>
      </c>
      <c r="B78" s="32"/>
      <c r="C78" s="33"/>
      <c r="D78" s="33"/>
      <c r="E78" s="21">
        <v>0</v>
      </c>
      <c r="F78" s="24">
        <v>45100.057000000001</v>
      </c>
      <c r="G78" s="33"/>
      <c r="H78" s="33"/>
      <c r="I78" s="34"/>
      <c r="J78" s="35"/>
    </row>
    <row r="79" spans="1:10" ht="12.75" hidden="1" customHeight="1" x14ac:dyDescent="0.25">
      <c r="A79" s="20" t="s">
        <v>18</v>
      </c>
      <c r="B79" s="32"/>
      <c r="C79" s="33"/>
      <c r="D79" s="33"/>
      <c r="E79" s="21">
        <v>0</v>
      </c>
      <c r="F79" s="24">
        <v>28707.541000000001</v>
      </c>
      <c r="G79" s="33"/>
      <c r="H79" s="33"/>
      <c r="I79" s="34"/>
      <c r="J79" s="35"/>
    </row>
    <row r="80" spans="1:10" ht="12.75" hidden="1" customHeight="1" x14ac:dyDescent="0.25">
      <c r="A80" s="20" t="s">
        <v>19</v>
      </c>
      <c r="B80" s="32"/>
      <c r="C80" s="33"/>
      <c r="D80" s="33"/>
      <c r="E80" s="21">
        <v>0</v>
      </c>
      <c r="F80" s="24">
        <v>178078.98199999999</v>
      </c>
      <c r="G80" s="33"/>
      <c r="H80" s="33"/>
      <c r="I80" s="34"/>
      <c r="J80" s="35"/>
    </row>
    <row r="81" spans="1:10" ht="12.75" hidden="1" customHeight="1" x14ac:dyDescent="0.25">
      <c r="A81" s="20" t="s">
        <v>20</v>
      </c>
      <c r="B81" s="32"/>
      <c r="C81" s="33"/>
      <c r="D81" s="33"/>
      <c r="E81" s="21">
        <v>0</v>
      </c>
      <c r="F81" s="24">
        <v>249048.40299999999</v>
      </c>
      <c r="G81" s="33"/>
      <c r="H81" s="33"/>
      <c r="I81" s="34"/>
      <c r="J81" s="35"/>
    </row>
    <row r="82" spans="1:10" ht="12.75" hidden="1" customHeight="1" x14ac:dyDescent="0.25">
      <c r="A82" s="20" t="s">
        <v>21</v>
      </c>
      <c r="B82" s="32"/>
      <c r="C82" s="33"/>
      <c r="D82" s="33"/>
      <c r="E82" s="21">
        <v>0</v>
      </c>
      <c r="F82" s="24">
        <v>47681.531999999999</v>
      </c>
      <c r="G82" s="33"/>
      <c r="H82" s="33"/>
      <c r="I82" s="34"/>
      <c r="J82" s="35"/>
    </row>
    <row r="83" spans="1:10" ht="12.75" hidden="1" customHeight="1" x14ac:dyDescent="0.25">
      <c r="A83" s="20" t="s">
        <v>22</v>
      </c>
      <c r="B83" s="32"/>
      <c r="C83" s="33"/>
      <c r="D83" s="33"/>
      <c r="E83" s="21">
        <v>0</v>
      </c>
      <c r="F83" s="24">
        <v>128652.436</v>
      </c>
      <c r="G83" s="33"/>
      <c r="H83" s="33"/>
      <c r="I83" s="34"/>
      <c r="J83" s="35"/>
    </row>
    <row r="84" spans="1:10" ht="12.75" hidden="1" customHeight="1" x14ac:dyDescent="0.25">
      <c r="A84" s="20" t="s">
        <v>23</v>
      </c>
      <c r="B84" s="32"/>
      <c r="C84" s="33"/>
      <c r="D84" s="33"/>
      <c r="E84" s="21">
        <v>0</v>
      </c>
      <c r="F84" s="24">
        <v>8233.0020000000004</v>
      </c>
      <c r="G84" s="33"/>
      <c r="H84" s="33"/>
      <c r="I84" s="34"/>
      <c r="J84" s="35"/>
    </row>
    <row r="85" spans="1:10" ht="12.75" hidden="1" customHeight="1" x14ac:dyDescent="0.25">
      <c r="A85" s="20" t="s">
        <v>24</v>
      </c>
      <c r="B85" s="32"/>
      <c r="C85" s="33"/>
      <c r="D85" s="33"/>
      <c r="E85" s="21">
        <v>0</v>
      </c>
      <c r="F85" s="24">
        <v>60215.483999999997</v>
      </c>
      <c r="G85" s="33"/>
      <c r="H85" s="33"/>
      <c r="I85" s="34"/>
      <c r="J85" s="35"/>
    </row>
    <row r="86" spans="1:10" ht="12.75" hidden="1" customHeight="1" x14ac:dyDescent="0.25">
      <c r="A86" s="36" t="s">
        <v>25</v>
      </c>
      <c r="B86" s="17"/>
      <c r="C86" s="21"/>
      <c r="D86" s="21"/>
      <c r="E86" s="37">
        <f>SUM(E74:E85)</f>
        <v>0</v>
      </c>
      <c r="F86" s="37">
        <f>SUM(F74:F85)</f>
        <v>823361.09699999983</v>
      </c>
      <c r="G86" s="21"/>
      <c r="H86" s="21"/>
      <c r="I86" s="28"/>
      <c r="J86" s="30"/>
    </row>
    <row r="87" spans="1:10" ht="12.75" hidden="1" customHeight="1" x14ac:dyDescent="0.25">
      <c r="A87" s="36"/>
      <c r="B87" s="17"/>
      <c r="C87" s="21"/>
      <c r="D87" s="21"/>
      <c r="E87" s="37"/>
      <c r="F87" s="37"/>
      <c r="G87" s="21"/>
      <c r="H87" s="21"/>
      <c r="I87" s="28"/>
      <c r="J87" s="30"/>
    </row>
    <row r="88" spans="1:10" ht="12.75" hidden="1" customHeight="1" x14ac:dyDescent="0.25">
      <c r="A88" s="31">
        <v>1998</v>
      </c>
      <c r="B88" s="14"/>
      <c r="C88" s="21"/>
      <c r="D88" s="21"/>
      <c r="E88" s="21"/>
      <c r="F88" s="24"/>
      <c r="G88" s="21"/>
      <c r="H88" s="21"/>
      <c r="I88" s="28"/>
      <c r="J88" s="30"/>
    </row>
    <row r="89" spans="1:10" ht="12.75" hidden="1" customHeight="1" x14ac:dyDescent="0.25">
      <c r="A89" s="20" t="s">
        <v>13</v>
      </c>
      <c r="B89" s="32"/>
      <c r="C89" s="33"/>
      <c r="D89" s="33"/>
      <c r="E89" s="21">
        <v>0</v>
      </c>
      <c r="F89" s="24">
        <v>37293.072999999997</v>
      </c>
      <c r="G89" s="33"/>
      <c r="H89" s="33"/>
      <c r="I89" s="34"/>
      <c r="J89" s="35"/>
    </row>
    <row r="90" spans="1:10" ht="12.75" hidden="1" customHeight="1" x14ac:dyDescent="0.25">
      <c r="A90" s="20" t="s">
        <v>14</v>
      </c>
      <c r="B90" s="32"/>
      <c r="C90" s="33"/>
      <c r="D90" s="33"/>
      <c r="E90" s="21">
        <v>0</v>
      </c>
      <c r="F90" s="24">
        <v>40327.042000000001</v>
      </c>
      <c r="G90" s="33"/>
      <c r="H90" s="33"/>
      <c r="I90" s="34"/>
      <c r="J90" s="35"/>
    </row>
    <row r="91" spans="1:10" ht="12.75" hidden="1" customHeight="1" x14ac:dyDescent="0.25">
      <c r="A91" s="20" t="s">
        <v>15</v>
      </c>
      <c r="B91" s="32"/>
      <c r="C91" s="33"/>
      <c r="D91" s="33"/>
      <c r="E91" s="21">
        <v>0</v>
      </c>
      <c r="F91" s="24">
        <v>3474.759</v>
      </c>
      <c r="G91" s="33"/>
      <c r="H91" s="33"/>
      <c r="I91" s="34"/>
      <c r="J91" s="35"/>
    </row>
    <row r="92" spans="1:10" ht="12.75" hidden="1" customHeight="1" x14ac:dyDescent="0.25">
      <c r="A92" s="20" t="s">
        <v>16</v>
      </c>
      <c r="B92" s="32"/>
      <c r="C92" s="33"/>
      <c r="D92" s="33"/>
      <c r="E92" s="21">
        <v>0</v>
      </c>
      <c r="F92" s="24">
        <v>6212.2380000000003</v>
      </c>
      <c r="G92" s="33"/>
      <c r="H92" s="33"/>
      <c r="I92" s="34"/>
      <c r="J92" s="35"/>
    </row>
    <row r="93" spans="1:10" ht="12.75" hidden="1" customHeight="1" x14ac:dyDescent="0.25">
      <c r="A93" s="20" t="s">
        <v>17</v>
      </c>
      <c r="B93" s="32"/>
      <c r="C93" s="33"/>
      <c r="D93" s="33"/>
      <c r="E93" s="21">
        <v>0</v>
      </c>
      <c r="F93" s="24">
        <v>13308.056</v>
      </c>
      <c r="G93" s="33"/>
      <c r="H93" s="33"/>
      <c r="I93" s="34"/>
      <c r="J93" s="35"/>
    </row>
    <row r="94" spans="1:10" ht="12.75" hidden="1" customHeight="1" x14ac:dyDescent="0.25">
      <c r="A94" s="20" t="s">
        <v>18</v>
      </c>
      <c r="B94" s="32"/>
      <c r="C94" s="33"/>
      <c r="D94" s="33"/>
      <c r="E94" s="21">
        <v>0</v>
      </c>
      <c r="F94" s="24">
        <v>133793.37599999999</v>
      </c>
      <c r="G94" s="33"/>
      <c r="H94" s="33"/>
      <c r="I94" s="34"/>
      <c r="J94" s="35"/>
    </row>
    <row r="95" spans="1:10" ht="12.75" hidden="1" customHeight="1" x14ac:dyDescent="0.25">
      <c r="A95" s="20" t="s">
        <v>19</v>
      </c>
      <c r="B95" s="32"/>
      <c r="C95" s="33"/>
      <c r="D95" s="33"/>
      <c r="E95" s="21">
        <v>0</v>
      </c>
      <c r="F95" s="24">
        <v>26663.882000000001</v>
      </c>
      <c r="G95" s="33"/>
      <c r="H95" s="33"/>
      <c r="I95" s="34"/>
      <c r="J95" s="35"/>
    </row>
    <row r="96" spans="1:10" ht="12.75" hidden="1" customHeight="1" x14ac:dyDescent="0.25">
      <c r="A96" s="20" t="s">
        <v>20</v>
      </c>
      <c r="B96" s="32"/>
      <c r="C96" s="33"/>
      <c r="D96" s="33"/>
      <c r="E96" s="21">
        <v>0</v>
      </c>
      <c r="F96" s="24">
        <v>76434.307000000001</v>
      </c>
      <c r="G96" s="33"/>
      <c r="H96" s="33"/>
      <c r="I96" s="34"/>
      <c r="J96" s="35"/>
    </row>
    <row r="97" spans="1:10" ht="12.75" hidden="1" customHeight="1" x14ac:dyDescent="0.25">
      <c r="A97" s="20" t="s">
        <v>21</v>
      </c>
      <c r="B97" s="32"/>
      <c r="C97" s="33"/>
      <c r="D97" s="33"/>
      <c r="E97" s="21">
        <v>0</v>
      </c>
      <c r="F97" s="24">
        <v>42642.220999999998</v>
      </c>
      <c r="G97" s="33"/>
      <c r="H97" s="33"/>
      <c r="I97" s="34"/>
      <c r="J97" s="35"/>
    </row>
    <row r="98" spans="1:10" ht="12.75" hidden="1" customHeight="1" x14ac:dyDescent="0.25">
      <c r="A98" s="20" t="s">
        <v>22</v>
      </c>
      <c r="B98" s="32"/>
      <c r="C98" s="33"/>
      <c r="D98" s="33"/>
      <c r="E98" s="21">
        <v>0</v>
      </c>
      <c r="F98" s="24">
        <v>14091.588</v>
      </c>
      <c r="G98" s="33"/>
      <c r="H98" s="33"/>
      <c r="I98" s="34"/>
      <c r="J98" s="35"/>
    </row>
    <row r="99" spans="1:10" ht="12.75" hidden="1" customHeight="1" x14ac:dyDescent="0.25">
      <c r="A99" s="20" t="s">
        <v>23</v>
      </c>
      <c r="B99" s="32"/>
      <c r="C99" s="33"/>
      <c r="D99" s="33"/>
      <c r="E99" s="21">
        <v>0</v>
      </c>
      <c r="F99" s="24">
        <v>23356.263999999999</v>
      </c>
      <c r="G99" s="33"/>
      <c r="H99" s="33"/>
      <c r="I99" s="34"/>
      <c r="J99" s="35"/>
    </row>
    <row r="100" spans="1:10" ht="12.75" hidden="1" customHeight="1" x14ac:dyDescent="0.25">
      <c r="A100" s="20" t="s">
        <v>24</v>
      </c>
      <c r="B100" s="32"/>
      <c r="C100" s="33"/>
      <c r="D100" s="33"/>
      <c r="E100" s="21">
        <v>0</v>
      </c>
      <c r="F100" s="24">
        <v>12720.13</v>
      </c>
      <c r="G100" s="33"/>
      <c r="H100" s="33"/>
      <c r="I100" s="34"/>
      <c r="J100" s="35"/>
    </row>
    <row r="101" spans="1:10" ht="12.75" hidden="1" customHeight="1" x14ac:dyDescent="0.25">
      <c r="A101" s="36" t="s">
        <v>25</v>
      </c>
      <c r="B101" s="17"/>
      <c r="C101" s="21"/>
      <c r="D101" s="21"/>
      <c r="E101" s="37">
        <f>SUM(E89:E100)</f>
        <v>0</v>
      </c>
      <c r="F101" s="37">
        <f>SUM(F89:F100)</f>
        <v>430316.93600000005</v>
      </c>
      <c r="G101" s="21"/>
      <c r="H101" s="21"/>
      <c r="I101" s="28"/>
      <c r="J101" s="30"/>
    </row>
    <row r="102" spans="1:10" ht="12.75" customHeight="1" x14ac:dyDescent="0.25">
      <c r="A102" s="36"/>
      <c r="B102" s="17"/>
      <c r="C102" s="21"/>
      <c r="D102" s="21"/>
      <c r="E102" s="37"/>
      <c r="F102" s="37"/>
      <c r="G102" s="21"/>
      <c r="H102" s="21"/>
      <c r="I102" s="28"/>
      <c r="J102" s="30"/>
    </row>
    <row r="103" spans="1:10" ht="12.75" customHeight="1" x14ac:dyDescent="0.25">
      <c r="A103" s="38">
        <v>1999</v>
      </c>
      <c r="B103" s="14"/>
      <c r="C103" s="21"/>
      <c r="D103" s="21"/>
      <c r="E103" s="21"/>
      <c r="F103" s="24"/>
      <c r="G103" s="39"/>
      <c r="H103" s="39"/>
      <c r="I103" s="40"/>
      <c r="J103" s="30"/>
    </row>
    <row r="104" spans="1:10" ht="12.75" customHeight="1" x14ac:dyDescent="0.25">
      <c r="A104" s="20" t="s">
        <v>13</v>
      </c>
      <c r="B104" s="17">
        <v>315</v>
      </c>
      <c r="C104" s="21">
        <v>23648920</v>
      </c>
      <c r="D104" s="21">
        <v>92990</v>
      </c>
      <c r="E104" s="21">
        <v>0</v>
      </c>
      <c r="F104" s="24">
        <v>0.187</v>
      </c>
      <c r="G104" s="21">
        <v>65524</v>
      </c>
      <c r="H104" s="21">
        <v>1</v>
      </c>
      <c r="I104" s="28">
        <v>0.33</v>
      </c>
      <c r="J104" s="29">
        <v>12.16</v>
      </c>
    </row>
    <row r="105" spans="1:10" ht="12.75" customHeight="1" x14ac:dyDescent="0.25">
      <c r="A105" s="20" t="s">
        <v>14</v>
      </c>
      <c r="B105" s="17">
        <v>313</v>
      </c>
      <c r="C105" s="21">
        <v>26362016</v>
      </c>
      <c r="D105" s="21">
        <v>86665</v>
      </c>
      <c r="E105" s="21">
        <v>0</v>
      </c>
      <c r="F105" s="24">
        <v>36816.269</v>
      </c>
      <c r="G105" s="21">
        <v>20692</v>
      </c>
      <c r="H105" s="21">
        <v>3</v>
      </c>
      <c r="I105" s="28">
        <v>0.32</v>
      </c>
      <c r="J105" s="29">
        <v>12.52</v>
      </c>
    </row>
    <row r="106" spans="1:10" ht="12.75" customHeight="1" x14ac:dyDescent="0.25">
      <c r="A106" s="20" t="s">
        <v>15</v>
      </c>
      <c r="B106" s="17">
        <v>323</v>
      </c>
      <c r="C106" s="21">
        <v>29524391</v>
      </c>
      <c r="D106" s="21">
        <v>177955</v>
      </c>
      <c r="E106" s="21">
        <v>0</v>
      </c>
      <c r="F106" s="24">
        <v>108758.351</v>
      </c>
      <c r="G106" s="21">
        <v>146335</v>
      </c>
      <c r="H106" s="21">
        <v>8</v>
      </c>
      <c r="I106" s="28">
        <v>0.6</v>
      </c>
      <c r="J106" s="29">
        <v>17.72</v>
      </c>
    </row>
    <row r="107" spans="1:10" ht="12.75" customHeight="1" x14ac:dyDescent="0.25">
      <c r="A107" s="20" t="s">
        <v>16</v>
      </c>
      <c r="B107" s="17">
        <v>316</v>
      </c>
      <c r="C107" s="21">
        <v>28813654</v>
      </c>
      <c r="D107" s="21">
        <v>733249</v>
      </c>
      <c r="E107" s="21">
        <v>0</v>
      </c>
      <c r="F107" s="24">
        <v>174497.54</v>
      </c>
      <c r="G107" s="21">
        <v>220610</v>
      </c>
      <c r="H107" s="21">
        <v>3</v>
      </c>
      <c r="I107" s="28">
        <v>2.54</v>
      </c>
      <c r="J107" s="29">
        <v>20.29</v>
      </c>
    </row>
    <row r="108" spans="1:10" ht="12.75" customHeight="1" x14ac:dyDescent="0.25">
      <c r="A108" s="20" t="s">
        <v>17</v>
      </c>
      <c r="B108" s="17">
        <v>320</v>
      </c>
      <c r="C108" s="21">
        <v>30547010</v>
      </c>
      <c r="D108" s="21">
        <v>1064847</v>
      </c>
      <c r="E108" s="21">
        <v>0</v>
      </c>
      <c r="F108" s="24">
        <v>4241.0410000000002</v>
      </c>
      <c r="G108" s="21">
        <v>302587</v>
      </c>
      <c r="H108" s="21">
        <v>2</v>
      </c>
      <c r="I108" s="28">
        <v>3.49</v>
      </c>
      <c r="J108" s="29">
        <v>18.010000000000002</v>
      </c>
    </row>
    <row r="109" spans="1:10" ht="12.75" customHeight="1" x14ac:dyDescent="0.25">
      <c r="A109" s="20" t="s">
        <v>18</v>
      </c>
      <c r="B109" s="17">
        <v>319</v>
      </c>
      <c r="C109" s="21">
        <v>32758090</v>
      </c>
      <c r="D109" s="21">
        <v>184418</v>
      </c>
      <c r="E109" s="21">
        <v>0</v>
      </c>
      <c r="F109" s="24">
        <v>3138.4540000000002</v>
      </c>
      <c r="G109" s="21">
        <v>11634</v>
      </c>
      <c r="H109" s="21">
        <v>2</v>
      </c>
      <c r="I109" s="28">
        <v>0.56000000000000005</v>
      </c>
      <c r="J109" s="29">
        <v>18.91</v>
      </c>
    </row>
    <row r="110" spans="1:10" ht="12.75" customHeight="1" x14ac:dyDescent="0.25">
      <c r="A110" s="20" t="s">
        <v>19</v>
      </c>
      <c r="B110" s="17">
        <v>317</v>
      </c>
      <c r="C110" s="21">
        <v>31964917</v>
      </c>
      <c r="D110" s="21">
        <v>213603</v>
      </c>
      <c r="E110" s="21">
        <v>0</v>
      </c>
      <c r="F110" s="24">
        <v>18263.736000000001</v>
      </c>
      <c r="G110" s="21">
        <v>144147</v>
      </c>
      <c r="H110" s="21">
        <v>4</v>
      </c>
      <c r="I110" s="28">
        <v>0.66</v>
      </c>
      <c r="J110" s="29">
        <v>17.48</v>
      </c>
    </row>
    <row r="111" spans="1:10" ht="12.75" customHeight="1" x14ac:dyDescent="0.25">
      <c r="A111" s="20" t="s">
        <v>20</v>
      </c>
      <c r="B111" s="17">
        <v>319</v>
      </c>
      <c r="C111" s="21">
        <v>32288706</v>
      </c>
      <c r="D111" s="21">
        <v>155532</v>
      </c>
      <c r="E111" s="21">
        <v>0</v>
      </c>
      <c r="F111" s="24">
        <v>3749.857</v>
      </c>
      <c r="G111" s="21">
        <v>84306</v>
      </c>
      <c r="H111" s="21">
        <v>4</v>
      </c>
      <c r="I111" s="28">
        <v>0.48</v>
      </c>
      <c r="J111" s="29">
        <v>16.899999999999999</v>
      </c>
    </row>
    <row r="112" spans="1:10" ht="12.75" customHeight="1" x14ac:dyDescent="0.25">
      <c r="A112" s="20" t="s">
        <v>21</v>
      </c>
      <c r="B112" s="17">
        <v>320</v>
      </c>
      <c r="C112" s="21">
        <v>32104415</v>
      </c>
      <c r="D112" s="21">
        <v>169800</v>
      </c>
      <c r="E112" s="21">
        <v>0</v>
      </c>
      <c r="F112" s="24">
        <v>304427.10100000002</v>
      </c>
      <c r="G112" s="21">
        <v>122666</v>
      </c>
      <c r="H112" s="21">
        <v>1</v>
      </c>
      <c r="I112" s="28">
        <v>0.52</v>
      </c>
      <c r="J112" s="29">
        <v>16.89</v>
      </c>
    </row>
    <row r="113" spans="1:10" ht="12.75" customHeight="1" x14ac:dyDescent="0.25">
      <c r="A113" s="20" t="s">
        <v>22</v>
      </c>
      <c r="B113" s="17">
        <v>315</v>
      </c>
      <c r="C113" s="21">
        <v>31951452</v>
      </c>
      <c r="D113" s="21">
        <v>155889</v>
      </c>
      <c r="E113" s="21">
        <v>0</v>
      </c>
      <c r="F113" s="24">
        <v>5648.473</v>
      </c>
      <c r="G113" s="21">
        <v>32103</v>
      </c>
      <c r="H113" s="21">
        <v>3</v>
      </c>
      <c r="I113" s="28">
        <v>0.49</v>
      </c>
      <c r="J113" s="29">
        <v>18.78</v>
      </c>
    </row>
    <row r="114" spans="1:10" ht="12.75" customHeight="1" x14ac:dyDescent="0.25">
      <c r="A114" s="20" t="s">
        <v>23</v>
      </c>
      <c r="B114" s="17">
        <v>322</v>
      </c>
      <c r="C114" s="21">
        <v>34233165</v>
      </c>
      <c r="D114" s="21">
        <v>201908</v>
      </c>
      <c r="E114" s="21">
        <v>0</v>
      </c>
      <c r="F114" s="24">
        <v>43471.023999999998</v>
      </c>
      <c r="G114" s="21">
        <v>50845</v>
      </c>
      <c r="H114" s="21">
        <v>4</v>
      </c>
      <c r="I114" s="28">
        <v>0.59</v>
      </c>
      <c r="J114" s="29">
        <v>40.93</v>
      </c>
    </row>
    <row r="115" spans="1:10" ht="12.75" customHeight="1" thickBot="1" x14ac:dyDescent="0.3">
      <c r="A115" s="41" t="s">
        <v>24</v>
      </c>
      <c r="B115" s="41">
        <v>316</v>
      </c>
      <c r="C115" s="42">
        <v>36146942</v>
      </c>
      <c r="D115" s="42">
        <v>218462</v>
      </c>
      <c r="E115" s="43">
        <v>0</v>
      </c>
      <c r="F115" s="42">
        <v>62920.144999999997</v>
      </c>
      <c r="G115" s="42">
        <v>98626</v>
      </c>
      <c r="H115" s="43">
        <v>4</v>
      </c>
      <c r="I115" s="44">
        <v>0.6</v>
      </c>
      <c r="J115" s="45">
        <v>16.170000000000002</v>
      </c>
    </row>
    <row r="116" spans="1:10" x14ac:dyDescent="0.25">
      <c r="A116" s="36" t="s">
        <v>25</v>
      </c>
      <c r="B116" s="46">
        <f>+B115</f>
        <v>316</v>
      </c>
      <c r="C116" s="47">
        <f>+C115</f>
        <v>36146942</v>
      </c>
      <c r="D116" s="47">
        <f t="shared" ref="D116:I116" si="14">SUM(D104:D115)</f>
        <v>3455318</v>
      </c>
      <c r="E116" s="47">
        <f t="shared" si="14"/>
        <v>0</v>
      </c>
      <c r="F116" s="48">
        <f t="shared" si="14"/>
        <v>765932.17800000007</v>
      </c>
      <c r="G116" s="47">
        <f t="shared" si="14"/>
        <v>1300075</v>
      </c>
      <c r="H116" s="47">
        <f t="shared" si="14"/>
        <v>39</v>
      </c>
      <c r="I116" s="49">
        <f t="shared" si="14"/>
        <v>11.18</v>
      </c>
      <c r="J116" s="50">
        <f>+J115</f>
        <v>16.170000000000002</v>
      </c>
    </row>
    <row r="117" spans="1:10" x14ac:dyDescent="0.25">
      <c r="A117" s="20"/>
      <c r="B117" s="14"/>
      <c r="C117" s="21"/>
      <c r="D117" s="21"/>
      <c r="E117" s="21"/>
      <c r="F117" s="24"/>
      <c r="G117" s="21"/>
      <c r="H117" s="21"/>
      <c r="I117" s="28"/>
      <c r="J117" s="30"/>
    </row>
    <row r="118" spans="1:10" x14ac:dyDescent="0.25">
      <c r="A118" s="38">
        <v>2000</v>
      </c>
      <c r="B118" s="17"/>
      <c r="C118" s="21"/>
      <c r="D118" s="21"/>
      <c r="E118" s="21"/>
      <c r="F118" s="24"/>
      <c r="G118" s="21"/>
      <c r="H118" s="21"/>
      <c r="I118" s="28"/>
      <c r="J118" s="30"/>
    </row>
    <row r="119" spans="1:10" x14ac:dyDescent="0.25">
      <c r="A119" s="20" t="s">
        <v>13</v>
      </c>
      <c r="B119" s="51">
        <v>316</v>
      </c>
      <c r="C119" s="39">
        <v>37713150</v>
      </c>
      <c r="D119" s="39">
        <v>324116</v>
      </c>
      <c r="E119" s="39">
        <v>0</v>
      </c>
      <c r="F119" s="52">
        <v>7569.0069999999996</v>
      </c>
      <c r="G119" s="39">
        <v>55642</v>
      </c>
      <c r="H119" s="39">
        <v>2</v>
      </c>
      <c r="I119" s="40">
        <v>0.85942436524130172</v>
      </c>
      <c r="J119" s="23">
        <v>14.3</v>
      </c>
    </row>
    <row r="120" spans="1:10" x14ac:dyDescent="0.25">
      <c r="A120" s="20" t="s">
        <v>14</v>
      </c>
      <c r="B120" s="51">
        <v>313</v>
      </c>
      <c r="C120" s="39">
        <v>35960033</v>
      </c>
      <c r="D120" s="39">
        <v>195941</v>
      </c>
      <c r="E120" s="39">
        <v>0</v>
      </c>
      <c r="F120" s="52">
        <v>107685.576</v>
      </c>
      <c r="G120" s="39">
        <v>5755</v>
      </c>
      <c r="H120" s="39">
        <v>1</v>
      </c>
      <c r="I120" s="40">
        <v>0.54488548439318729</v>
      </c>
      <c r="J120" s="23">
        <v>14.3</v>
      </c>
    </row>
    <row r="121" spans="1:10" x14ac:dyDescent="0.25">
      <c r="A121" s="20" t="s">
        <v>15</v>
      </c>
      <c r="B121" s="51">
        <v>349</v>
      </c>
      <c r="C121" s="39">
        <v>36054529</v>
      </c>
      <c r="D121" s="39">
        <v>312608</v>
      </c>
      <c r="E121" s="39">
        <v>0</v>
      </c>
      <c r="F121" s="52">
        <v>214055.98499999999</v>
      </c>
      <c r="G121" s="39">
        <v>168881</v>
      </c>
      <c r="H121" s="39">
        <v>0</v>
      </c>
      <c r="I121" s="40">
        <v>0.86704225147414915</v>
      </c>
      <c r="J121" s="23">
        <v>14.3</v>
      </c>
    </row>
    <row r="122" spans="1:10" x14ac:dyDescent="0.25">
      <c r="A122" s="20" t="s">
        <v>16</v>
      </c>
      <c r="B122" s="51">
        <v>353</v>
      </c>
      <c r="C122" s="39">
        <v>34980911</v>
      </c>
      <c r="D122" s="39">
        <v>209669</v>
      </c>
      <c r="E122" s="39">
        <v>0</v>
      </c>
      <c r="F122" s="52">
        <v>19406.343000000001</v>
      </c>
      <c r="G122" s="39">
        <v>100213</v>
      </c>
      <c r="H122" s="53">
        <v>2</v>
      </c>
      <c r="I122" s="40">
        <v>0.59938118821433783</v>
      </c>
      <c r="J122" s="23">
        <v>14.3</v>
      </c>
    </row>
    <row r="123" spans="1:10" x14ac:dyDescent="0.25">
      <c r="A123" s="20" t="s">
        <v>17</v>
      </c>
      <c r="B123" s="51">
        <v>321</v>
      </c>
      <c r="C123" s="39">
        <v>35172763</v>
      </c>
      <c r="D123" s="39">
        <v>258088</v>
      </c>
      <c r="E123" s="39">
        <v>0</v>
      </c>
      <c r="F123" s="52">
        <v>12372.700999999999</v>
      </c>
      <c r="G123" s="39">
        <v>426995</v>
      </c>
      <c r="H123" s="39">
        <v>1</v>
      </c>
      <c r="I123" s="40">
        <v>0.73377232263498893</v>
      </c>
      <c r="J123" s="23">
        <v>14.3</v>
      </c>
    </row>
    <row r="124" spans="1:10" x14ac:dyDescent="0.25">
      <c r="A124" s="20" t="s">
        <v>18</v>
      </c>
      <c r="B124" s="51">
        <v>318</v>
      </c>
      <c r="C124" s="39">
        <v>34948028</v>
      </c>
      <c r="D124" s="39">
        <v>141128</v>
      </c>
      <c r="E124" s="39">
        <v>0</v>
      </c>
      <c r="F124" s="52">
        <v>9312.9529999999995</v>
      </c>
      <c r="G124" s="39">
        <v>15666</v>
      </c>
      <c r="H124" s="39">
        <v>1</v>
      </c>
      <c r="I124" s="40">
        <v>0.4038224989404266</v>
      </c>
      <c r="J124" s="23">
        <v>14.3</v>
      </c>
    </row>
    <row r="125" spans="1:10" x14ac:dyDescent="0.25">
      <c r="A125" s="20" t="s">
        <v>19</v>
      </c>
      <c r="B125" s="17">
        <v>321</v>
      </c>
      <c r="C125" s="21">
        <v>34425228</v>
      </c>
      <c r="D125" s="21">
        <v>193780</v>
      </c>
      <c r="E125" s="21">
        <v>0</v>
      </c>
      <c r="F125" s="24">
        <v>46393.781999999999</v>
      </c>
      <c r="G125" s="21">
        <v>76634</v>
      </c>
      <c r="H125" s="21">
        <v>1</v>
      </c>
      <c r="I125" s="28">
        <v>0.56290113750299631</v>
      </c>
      <c r="J125" s="23">
        <v>14.3</v>
      </c>
    </row>
    <row r="126" spans="1:10" x14ac:dyDescent="0.25">
      <c r="A126" s="20" t="s">
        <v>20</v>
      </c>
      <c r="B126" s="17">
        <v>324</v>
      </c>
      <c r="C126" s="21">
        <v>35336993</v>
      </c>
      <c r="D126" s="21">
        <v>187974</v>
      </c>
      <c r="E126" s="21">
        <v>0</v>
      </c>
      <c r="F126" s="24">
        <v>14365.69</v>
      </c>
      <c r="G126" s="21">
        <v>36747</v>
      </c>
      <c r="H126" s="21">
        <v>1</v>
      </c>
      <c r="I126" s="28">
        <v>0.53</v>
      </c>
      <c r="J126" s="23">
        <v>15.57</v>
      </c>
    </row>
    <row r="127" spans="1:10" x14ac:dyDescent="0.25">
      <c r="A127" s="20" t="s">
        <v>21</v>
      </c>
      <c r="B127" s="17">
        <v>320</v>
      </c>
      <c r="C127" s="21">
        <v>34591762</v>
      </c>
      <c r="D127" s="21">
        <v>123715</v>
      </c>
      <c r="E127" s="21">
        <v>0</v>
      </c>
      <c r="F127" s="24">
        <v>106162.12</v>
      </c>
      <c r="G127" s="21">
        <v>39787</v>
      </c>
      <c r="H127" s="21">
        <v>5</v>
      </c>
      <c r="I127" s="28">
        <v>0.35</v>
      </c>
      <c r="J127" s="23">
        <v>15.17</v>
      </c>
    </row>
    <row r="128" spans="1:10" x14ac:dyDescent="0.25">
      <c r="A128" s="20" t="s">
        <v>22</v>
      </c>
      <c r="B128" s="17">
        <v>319</v>
      </c>
      <c r="C128" s="21">
        <v>33977922</v>
      </c>
      <c r="D128" s="21">
        <v>193019</v>
      </c>
      <c r="E128" s="21">
        <v>0</v>
      </c>
      <c r="F128" s="24">
        <v>193719.497</v>
      </c>
      <c r="G128" s="21">
        <v>41184</v>
      </c>
      <c r="H128" s="21">
        <v>3</v>
      </c>
      <c r="I128" s="28">
        <v>0.56999999999999995</v>
      </c>
      <c r="J128" s="23">
        <v>14.88</v>
      </c>
    </row>
    <row r="129" spans="1:10" x14ac:dyDescent="0.25">
      <c r="A129" s="20" t="s">
        <v>23</v>
      </c>
      <c r="B129" s="17">
        <v>296</v>
      </c>
      <c r="C129" s="21">
        <v>34534942</v>
      </c>
      <c r="D129" s="21">
        <v>306145</v>
      </c>
      <c r="E129" s="21">
        <v>0</v>
      </c>
      <c r="F129" s="24">
        <v>23501.377</v>
      </c>
      <c r="G129" s="21">
        <v>28606</v>
      </c>
      <c r="H129" s="21">
        <v>4</v>
      </c>
      <c r="I129" s="28">
        <v>0.89</v>
      </c>
      <c r="J129" s="23">
        <v>16.84</v>
      </c>
    </row>
    <row r="130" spans="1:10" ht="16.5" thickBot="1" x14ac:dyDescent="0.3">
      <c r="A130" s="41" t="s">
        <v>24</v>
      </c>
      <c r="B130" s="41">
        <v>296</v>
      </c>
      <c r="C130" s="42">
        <v>34654940</v>
      </c>
      <c r="D130" s="42">
        <v>868313</v>
      </c>
      <c r="E130" s="43">
        <v>0</v>
      </c>
      <c r="F130" s="42">
        <v>36885</v>
      </c>
      <c r="G130" s="42">
        <v>239609</v>
      </c>
      <c r="H130" s="43">
        <v>5</v>
      </c>
      <c r="I130" s="44">
        <v>2.5099999999999998</v>
      </c>
      <c r="J130" s="45">
        <v>16.98</v>
      </c>
    </row>
    <row r="131" spans="1:10" x14ac:dyDescent="0.25">
      <c r="A131" s="36" t="s">
        <v>25</v>
      </c>
      <c r="B131" s="46">
        <f>+B130</f>
        <v>296</v>
      </c>
      <c r="C131" s="47">
        <f>+C130</f>
        <v>34654940</v>
      </c>
      <c r="D131" s="47">
        <f t="shared" ref="D131:I131" si="15">SUM(D119:D130)</f>
        <v>3314496</v>
      </c>
      <c r="E131" s="47">
        <f t="shared" si="15"/>
        <v>0</v>
      </c>
      <c r="F131" s="48">
        <f t="shared" si="15"/>
        <v>791430.03099999984</v>
      </c>
      <c r="G131" s="47">
        <f t="shared" si="15"/>
        <v>1235719</v>
      </c>
      <c r="H131" s="47">
        <f t="shared" si="15"/>
        <v>26</v>
      </c>
      <c r="I131" s="49">
        <f t="shared" si="15"/>
        <v>9.4212292484013886</v>
      </c>
      <c r="J131" s="50">
        <f>+J130</f>
        <v>16.98</v>
      </c>
    </row>
    <row r="132" spans="1:10" x14ac:dyDescent="0.25">
      <c r="A132" s="20"/>
      <c r="B132" s="17"/>
      <c r="C132" s="21"/>
      <c r="D132" s="21"/>
      <c r="E132" s="21"/>
      <c r="F132" s="54"/>
      <c r="G132" s="21"/>
      <c r="H132" s="21"/>
      <c r="I132" s="28"/>
      <c r="J132" s="30"/>
    </row>
    <row r="133" spans="1:10" x14ac:dyDescent="0.25">
      <c r="A133" s="38">
        <v>2001</v>
      </c>
      <c r="B133" s="17"/>
      <c r="C133" s="21"/>
      <c r="D133" s="21"/>
      <c r="E133" s="21"/>
      <c r="F133" s="24"/>
      <c r="G133" s="21"/>
      <c r="H133" s="21"/>
      <c r="I133" s="28"/>
      <c r="J133" s="30"/>
    </row>
    <row r="134" spans="1:10" x14ac:dyDescent="0.25">
      <c r="A134" s="20" t="s">
        <v>13</v>
      </c>
      <c r="B134" s="17">
        <v>293</v>
      </c>
      <c r="C134" s="21">
        <v>35702835</v>
      </c>
      <c r="D134" s="21">
        <v>263943</v>
      </c>
      <c r="E134" s="21">
        <v>0</v>
      </c>
      <c r="F134" s="24">
        <v>135789</v>
      </c>
      <c r="G134" s="21">
        <v>78963</v>
      </c>
      <c r="H134" s="21">
        <v>1</v>
      </c>
      <c r="I134" s="40">
        <v>0.74</v>
      </c>
      <c r="J134" s="29">
        <v>17.899999999999999</v>
      </c>
    </row>
    <row r="135" spans="1:10" x14ac:dyDescent="0.25">
      <c r="A135" s="20" t="s">
        <v>14</v>
      </c>
      <c r="B135" s="17">
        <v>294</v>
      </c>
      <c r="C135" s="21">
        <v>34403467</v>
      </c>
      <c r="D135" s="21">
        <v>103893</v>
      </c>
      <c r="E135" s="21">
        <v>0</v>
      </c>
      <c r="F135" s="24">
        <v>2385.335</v>
      </c>
      <c r="G135" s="21">
        <v>9494</v>
      </c>
      <c r="H135" s="21">
        <v>3</v>
      </c>
      <c r="I135" s="40">
        <v>0.3</v>
      </c>
      <c r="J135" s="29">
        <v>19.91</v>
      </c>
    </row>
    <row r="136" spans="1:10" x14ac:dyDescent="0.25">
      <c r="A136" s="20" t="s">
        <v>15</v>
      </c>
      <c r="B136" s="17">
        <v>294</v>
      </c>
      <c r="C136" s="21">
        <v>34662354</v>
      </c>
      <c r="D136" s="21">
        <v>217398</v>
      </c>
      <c r="E136" s="21">
        <v>0</v>
      </c>
      <c r="F136" s="24">
        <v>6907.5410000000002</v>
      </c>
      <c r="G136" s="21">
        <v>210676</v>
      </c>
      <c r="H136" s="21">
        <v>0</v>
      </c>
      <c r="I136" s="40">
        <v>0.63</v>
      </c>
      <c r="J136" s="29">
        <v>18.91</v>
      </c>
    </row>
    <row r="137" spans="1:10" x14ac:dyDescent="0.25">
      <c r="A137" s="20" t="s">
        <v>16</v>
      </c>
      <c r="B137" s="17">
        <v>306</v>
      </c>
      <c r="C137" s="21">
        <v>35825921</v>
      </c>
      <c r="D137" s="21">
        <v>234482</v>
      </c>
      <c r="E137" s="21">
        <v>0</v>
      </c>
      <c r="F137" s="24">
        <v>2513.9810000000002</v>
      </c>
      <c r="G137" s="21">
        <v>339540</v>
      </c>
      <c r="H137" s="21">
        <v>2</v>
      </c>
      <c r="I137" s="40">
        <v>0.65</v>
      </c>
      <c r="J137" s="29">
        <v>19.61</v>
      </c>
    </row>
    <row r="138" spans="1:10" x14ac:dyDescent="0.25">
      <c r="A138" s="20" t="s">
        <v>17</v>
      </c>
      <c r="B138" s="17">
        <v>297</v>
      </c>
      <c r="C138" s="21">
        <v>38341797</v>
      </c>
      <c r="D138" s="21">
        <v>281494</v>
      </c>
      <c r="E138" s="21">
        <v>0</v>
      </c>
      <c r="F138" s="24">
        <v>44496.264000000003</v>
      </c>
      <c r="G138" s="21">
        <v>929871</v>
      </c>
      <c r="H138" s="21">
        <v>4</v>
      </c>
      <c r="I138" s="40">
        <v>0.73</v>
      </c>
      <c r="J138" s="29">
        <v>20.98</v>
      </c>
    </row>
    <row r="139" spans="1:10" x14ac:dyDescent="0.25">
      <c r="A139" s="20" t="s">
        <v>18</v>
      </c>
      <c r="B139" s="17">
        <v>293</v>
      </c>
      <c r="C139" s="21">
        <v>37848523</v>
      </c>
      <c r="D139" s="21">
        <v>174438</v>
      </c>
      <c r="E139" s="25">
        <v>0</v>
      </c>
      <c r="F139" s="24">
        <v>39940.025000000001</v>
      </c>
      <c r="G139" s="21">
        <v>4547</v>
      </c>
      <c r="H139" s="21">
        <v>2</v>
      </c>
      <c r="I139" s="40">
        <v>0.46</v>
      </c>
      <c r="J139" s="29">
        <v>20.28</v>
      </c>
    </row>
    <row r="140" spans="1:10" x14ac:dyDescent="0.25">
      <c r="A140" s="20" t="s">
        <v>19</v>
      </c>
      <c r="B140" s="17">
        <v>289</v>
      </c>
      <c r="C140" s="21">
        <v>38066754</v>
      </c>
      <c r="D140" s="21">
        <v>157573</v>
      </c>
      <c r="E140" s="25">
        <v>0</v>
      </c>
      <c r="F140" s="24">
        <v>670.154</v>
      </c>
      <c r="G140" s="21">
        <v>226749</v>
      </c>
      <c r="H140" s="21">
        <v>1</v>
      </c>
      <c r="I140" s="40">
        <v>0.41</v>
      </c>
      <c r="J140" s="29">
        <v>20.7</v>
      </c>
    </row>
    <row r="141" spans="1:10" x14ac:dyDescent="0.25">
      <c r="A141" s="20" t="s">
        <v>20</v>
      </c>
      <c r="B141" s="17">
        <v>284</v>
      </c>
      <c r="C141" s="21">
        <v>39352831</v>
      </c>
      <c r="D141" s="21">
        <v>244519</v>
      </c>
      <c r="E141" s="21">
        <v>0</v>
      </c>
      <c r="F141" s="24">
        <v>1267.2159999999999</v>
      </c>
      <c r="G141" s="21">
        <v>15121</v>
      </c>
      <c r="H141" s="21">
        <v>2</v>
      </c>
      <c r="I141" s="40">
        <v>0.62</v>
      </c>
      <c r="J141" s="29">
        <v>18.54</v>
      </c>
    </row>
    <row r="142" spans="1:10" x14ac:dyDescent="0.25">
      <c r="A142" s="20" t="s">
        <v>21</v>
      </c>
      <c r="B142" s="17">
        <v>287</v>
      </c>
      <c r="C142" s="21">
        <v>35117207</v>
      </c>
      <c r="D142" s="21">
        <v>223549</v>
      </c>
      <c r="E142" s="21">
        <v>0</v>
      </c>
      <c r="F142" s="24">
        <v>2149.2750000000001</v>
      </c>
      <c r="G142" s="21">
        <v>334781</v>
      </c>
      <c r="H142" s="21">
        <v>7</v>
      </c>
      <c r="I142" s="40">
        <v>0.63</v>
      </c>
      <c r="J142" s="29">
        <v>16.579999999999998</v>
      </c>
    </row>
    <row r="143" spans="1:10" x14ac:dyDescent="0.25">
      <c r="A143" s="20" t="s">
        <v>22</v>
      </c>
      <c r="B143" s="17">
        <v>288</v>
      </c>
      <c r="C143" s="21">
        <v>35954381.670000002</v>
      </c>
      <c r="D143" s="21">
        <v>279918.462</v>
      </c>
      <c r="E143" s="21">
        <v>0</v>
      </c>
      <c r="F143" s="24">
        <v>2997.6750000000002</v>
      </c>
      <c r="G143" s="21">
        <v>52720.315999999999</v>
      </c>
      <c r="H143" s="21">
        <v>0</v>
      </c>
      <c r="I143" s="40">
        <v>0.77853782765387214</v>
      </c>
      <c r="J143" s="29">
        <v>16.579999999999998</v>
      </c>
    </row>
    <row r="144" spans="1:10" x14ac:dyDescent="0.25">
      <c r="A144" s="20" t="s">
        <v>23</v>
      </c>
      <c r="B144" s="17">
        <v>286</v>
      </c>
      <c r="C144" s="21">
        <v>37508001.299999997</v>
      </c>
      <c r="D144" s="21">
        <v>327720.90000000002</v>
      </c>
      <c r="E144" s="21">
        <v>0</v>
      </c>
      <c r="F144" s="24">
        <v>329.702</v>
      </c>
      <c r="G144" s="21">
        <v>40435.646000000001</v>
      </c>
      <c r="H144" s="21">
        <v>4</v>
      </c>
      <c r="I144" s="40">
        <v>0.87373597270297643</v>
      </c>
      <c r="J144" s="29">
        <v>16.5</v>
      </c>
    </row>
    <row r="145" spans="1:10" ht="16.5" thickBot="1" x14ac:dyDescent="0.3">
      <c r="A145" s="41" t="s">
        <v>24</v>
      </c>
      <c r="B145" s="41">
        <v>288</v>
      </c>
      <c r="C145" s="42">
        <v>37229174.460000001</v>
      </c>
      <c r="D145" s="42">
        <v>182322.74299999999</v>
      </c>
      <c r="E145" s="43">
        <v>0</v>
      </c>
      <c r="F145" s="42">
        <v>28327.839</v>
      </c>
      <c r="G145" s="42">
        <v>65493.122000000003</v>
      </c>
      <c r="H145" s="43">
        <v>0</v>
      </c>
      <c r="I145" s="44">
        <v>0.48973082439926868</v>
      </c>
      <c r="J145" s="45">
        <v>15.49</v>
      </c>
    </row>
    <row r="146" spans="1:10" s="2" customFormat="1" x14ac:dyDescent="0.25">
      <c r="A146" s="36" t="s">
        <v>25</v>
      </c>
      <c r="B146" s="46">
        <f>+B145</f>
        <v>288</v>
      </c>
      <c r="C146" s="47">
        <f>+C145</f>
        <v>37229174.460000001</v>
      </c>
      <c r="D146" s="47">
        <f t="shared" ref="D146:I146" si="16">SUM(D134:D145)</f>
        <v>2691251.1049999995</v>
      </c>
      <c r="E146" s="48">
        <f t="shared" si="16"/>
        <v>0</v>
      </c>
      <c r="F146" s="48">
        <f t="shared" si="16"/>
        <v>267774.00699999993</v>
      </c>
      <c r="G146" s="47">
        <f t="shared" si="16"/>
        <v>2308391.0840000003</v>
      </c>
      <c r="H146" s="47">
        <f t="shared" si="16"/>
        <v>26</v>
      </c>
      <c r="I146" s="49">
        <f t="shared" si="16"/>
        <v>7.3120046247561179</v>
      </c>
      <c r="J146" s="50">
        <f>+J145</f>
        <v>15.49</v>
      </c>
    </row>
    <row r="147" spans="1:10" x14ac:dyDescent="0.25">
      <c r="A147" s="20"/>
      <c r="B147" s="17"/>
      <c r="C147" s="21"/>
      <c r="D147" s="21"/>
      <c r="E147" s="21"/>
      <c r="F147" s="24"/>
      <c r="G147" s="21"/>
      <c r="H147" s="21"/>
      <c r="I147" s="28"/>
      <c r="J147" s="30"/>
    </row>
    <row r="148" spans="1:10" x14ac:dyDescent="0.25">
      <c r="A148" s="38">
        <v>2002</v>
      </c>
      <c r="B148" s="17"/>
      <c r="C148" s="21"/>
      <c r="D148" s="21"/>
      <c r="E148" s="21"/>
      <c r="F148" s="24"/>
      <c r="G148" s="21"/>
      <c r="H148" s="21"/>
      <c r="I148" s="28"/>
      <c r="J148" s="30"/>
    </row>
    <row r="149" spans="1:10" x14ac:dyDescent="0.25">
      <c r="A149" s="20" t="s">
        <v>13</v>
      </c>
      <c r="B149" s="17">
        <v>287</v>
      </c>
      <c r="C149" s="21">
        <v>36398309.490000002</v>
      </c>
      <c r="D149" s="21">
        <v>166979.402</v>
      </c>
      <c r="E149" s="21">
        <v>0</v>
      </c>
      <c r="F149" s="24">
        <v>30044.995999999999</v>
      </c>
      <c r="G149" s="21">
        <v>90695.004000000001</v>
      </c>
      <c r="H149" s="21">
        <v>0</v>
      </c>
      <c r="I149" s="40">
        <v>0.45875592668905563</v>
      </c>
      <c r="J149" s="29">
        <v>15.75</v>
      </c>
    </row>
    <row r="150" spans="1:10" x14ac:dyDescent="0.25">
      <c r="A150" s="20" t="s">
        <v>14</v>
      </c>
      <c r="B150" s="17">
        <v>283</v>
      </c>
      <c r="C150" s="21">
        <v>36253504.170000002</v>
      </c>
      <c r="D150" s="21">
        <v>116947.223</v>
      </c>
      <c r="E150" s="21">
        <v>0</v>
      </c>
      <c r="F150" s="24">
        <v>1101.08</v>
      </c>
      <c r="G150" s="21">
        <v>12335.181</v>
      </c>
      <c r="H150" s="21">
        <v>5</v>
      </c>
      <c r="I150" s="40">
        <v>0.32258184602407219</v>
      </c>
      <c r="J150" s="29">
        <v>14.08</v>
      </c>
    </row>
    <row r="151" spans="1:10" x14ac:dyDescent="0.25">
      <c r="A151" s="20" t="s">
        <v>15</v>
      </c>
      <c r="B151" s="17">
        <v>283</v>
      </c>
      <c r="C151" s="21">
        <v>36688572.020000003</v>
      </c>
      <c r="D151" s="21">
        <v>213234.07199999999</v>
      </c>
      <c r="E151" s="21">
        <v>0</v>
      </c>
      <c r="F151" s="24">
        <v>25233.423999999999</v>
      </c>
      <c r="G151" s="21">
        <v>241311.011</v>
      </c>
      <c r="H151" s="21">
        <v>4</v>
      </c>
      <c r="I151" s="40">
        <v>0.58120024917775459</v>
      </c>
      <c r="J151" s="29">
        <v>15.79</v>
      </c>
    </row>
    <row r="152" spans="1:10" x14ac:dyDescent="0.25">
      <c r="A152" s="20" t="s">
        <v>26</v>
      </c>
      <c r="B152" s="17">
        <v>308</v>
      </c>
      <c r="C152" s="21">
        <v>35895007</v>
      </c>
      <c r="D152" s="21">
        <v>272797</v>
      </c>
      <c r="E152" s="21">
        <f>2892.359+1296.981+745.918+3716.558+3162.638</f>
        <v>11814.453999999998</v>
      </c>
      <c r="F152" s="24">
        <f>79889.248-E152</f>
        <v>68074.794000000009</v>
      </c>
      <c r="G152" s="21">
        <v>130180</v>
      </c>
      <c r="H152" s="21">
        <v>1</v>
      </c>
      <c r="I152" s="40">
        <v>0.75998592227604245</v>
      </c>
      <c r="J152" s="29">
        <v>18.399999999999999</v>
      </c>
    </row>
    <row r="153" spans="1:10" x14ac:dyDescent="0.25">
      <c r="A153" s="20" t="s">
        <v>17</v>
      </c>
      <c r="B153" s="17">
        <v>288</v>
      </c>
      <c r="C153" s="21">
        <v>34940210</v>
      </c>
      <c r="D153" s="21">
        <v>175776</v>
      </c>
      <c r="E153" s="21">
        <f>1527.503+4379.797</f>
        <v>5907.2999999999993</v>
      </c>
      <c r="F153" s="24">
        <f>25055.058-E153</f>
        <v>19147.758000000002</v>
      </c>
      <c r="G153" s="21">
        <v>644295</v>
      </c>
      <c r="H153" s="21">
        <v>2</v>
      </c>
      <c r="I153" s="40">
        <v>0.5030765413258822</v>
      </c>
      <c r="J153" s="29">
        <v>18.68</v>
      </c>
    </row>
    <row r="154" spans="1:10" x14ac:dyDescent="0.25">
      <c r="A154" s="20" t="s">
        <v>18</v>
      </c>
      <c r="B154" s="17">
        <v>281</v>
      </c>
      <c r="C154" s="21">
        <v>33787057</v>
      </c>
      <c r="D154" s="21">
        <v>187111</v>
      </c>
      <c r="E154" s="21">
        <f>1.616+966.681</f>
        <v>968.29700000000003</v>
      </c>
      <c r="F154" s="24">
        <f>35394.582-E154</f>
        <v>34426.285000000003</v>
      </c>
      <c r="G154" s="21">
        <v>4360</v>
      </c>
      <c r="H154" s="21">
        <v>1</v>
      </c>
      <c r="I154" s="40">
        <v>0.55379490436234202</v>
      </c>
      <c r="J154" s="29">
        <v>20.399999999999999</v>
      </c>
    </row>
    <row r="155" spans="1:10" x14ac:dyDescent="0.25">
      <c r="A155" s="20" t="s">
        <v>19</v>
      </c>
      <c r="B155" s="17">
        <v>290</v>
      </c>
      <c r="C155" s="21">
        <v>33467375</v>
      </c>
      <c r="D155" s="21">
        <v>168230</v>
      </c>
      <c r="E155" s="21">
        <v>0</v>
      </c>
      <c r="F155" s="24">
        <v>3193.7620000000002</v>
      </c>
      <c r="G155" s="21">
        <v>57853</v>
      </c>
      <c r="H155" s="21">
        <v>2</v>
      </c>
      <c r="I155" s="40">
        <v>0.50266864371645514</v>
      </c>
      <c r="J155" s="29">
        <v>20.62</v>
      </c>
    </row>
    <row r="156" spans="1:10" x14ac:dyDescent="0.25">
      <c r="A156" s="20" t="s">
        <v>20</v>
      </c>
      <c r="B156" s="17">
        <v>278</v>
      </c>
      <c r="C156" s="21">
        <v>33515327</v>
      </c>
      <c r="D156" s="21">
        <v>185467</v>
      </c>
      <c r="E156" s="21">
        <v>0</v>
      </c>
      <c r="F156" s="24">
        <v>2590.1280000000002</v>
      </c>
      <c r="G156" s="21">
        <v>33049</v>
      </c>
      <c r="H156" s="21">
        <v>3</v>
      </c>
      <c r="I156" s="40">
        <v>0.55337965224089869</v>
      </c>
      <c r="J156" s="29">
        <v>17.48</v>
      </c>
    </row>
    <row r="157" spans="1:10" x14ac:dyDescent="0.25">
      <c r="A157" s="20" t="s">
        <v>21</v>
      </c>
      <c r="B157" s="17">
        <v>282</v>
      </c>
      <c r="C157" s="21">
        <v>31758204</v>
      </c>
      <c r="D157" s="21">
        <v>121891</v>
      </c>
      <c r="E157" s="21">
        <v>4067.2620000000002</v>
      </c>
      <c r="F157" s="24">
        <f>38961.047-E157</f>
        <v>34893.784999999996</v>
      </c>
      <c r="G157" s="21">
        <v>26708</v>
      </c>
      <c r="H157" s="21">
        <v>6</v>
      </c>
      <c r="I157" s="40">
        <v>0.38380948746345983</v>
      </c>
      <c r="J157" s="29">
        <v>16.190000000000001</v>
      </c>
    </row>
    <row r="158" spans="1:10" x14ac:dyDescent="0.25">
      <c r="A158" s="20" t="s">
        <v>22</v>
      </c>
      <c r="B158" s="17">
        <v>285</v>
      </c>
      <c r="C158" s="21">
        <v>32189458.800000001</v>
      </c>
      <c r="D158" s="21">
        <v>232363.6</v>
      </c>
      <c r="E158" s="21">
        <v>0</v>
      </c>
      <c r="F158" s="24">
        <v>1052.798</v>
      </c>
      <c r="G158" s="21">
        <v>60718.6</v>
      </c>
      <c r="H158" s="21">
        <v>0</v>
      </c>
      <c r="I158" s="40">
        <v>0.72186240049490979</v>
      </c>
      <c r="J158" s="29">
        <v>17.22</v>
      </c>
    </row>
    <row r="159" spans="1:10" x14ac:dyDescent="0.25">
      <c r="A159" s="20" t="s">
        <v>23</v>
      </c>
      <c r="B159" s="17">
        <v>284</v>
      </c>
      <c r="C159" s="21">
        <v>32908432.5</v>
      </c>
      <c r="D159" s="21">
        <v>290982.3</v>
      </c>
      <c r="E159" s="21">
        <v>0</v>
      </c>
      <c r="F159" s="24">
        <v>833.17700000000002</v>
      </c>
      <c r="G159" s="21">
        <v>30235.1</v>
      </c>
      <c r="H159" s="21">
        <v>0</v>
      </c>
      <c r="I159" s="40">
        <v>0.88421804958349193</v>
      </c>
      <c r="J159" s="29">
        <v>17.61</v>
      </c>
    </row>
    <row r="160" spans="1:10" ht="16.5" thickBot="1" x14ac:dyDescent="0.3">
      <c r="A160" s="41" t="s">
        <v>24</v>
      </c>
      <c r="B160" s="41">
        <v>296</v>
      </c>
      <c r="C160" s="42">
        <v>34272528.299999997</v>
      </c>
      <c r="D160" s="42">
        <v>289633.5</v>
      </c>
      <c r="E160" s="43">
        <v>0</v>
      </c>
      <c r="F160" s="42">
        <v>1.4079999999999999</v>
      </c>
      <c r="G160" s="42">
        <v>123682.3</v>
      </c>
      <c r="H160" s="43">
        <v>1</v>
      </c>
      <c r="I160" s="44">
        <v>0.84508938898447128</v>
      </c>
      <c r="J160" s="45">
        <v>20.6</v>
      </c>
    </row>
    <row r="161" spans="1:10" x14ac:dyDescent="0.25">
      <c r="A161" s="36" t="s">
        <v>25</v>
      </c>
      <c r="B161" s="46">
        <f>+B160</f>
        <v>296</v>
      </c>
      <c r="C161" s="47">
        <f>+C160</f>
        <v>34272528.299999997</v>
      </c>
      <c r="D161" s="47">
        <f t="shared" ref="D161:I161" si="17">SUM(D149:D160)</f>
        <v>2421412.0970000001</v>
      </c>
      <c r="E161" s="47">
        <f t="shared" si="17"/>
        <v>22757.312999999995</v>
      </c>
      <c r="F161" s="48">
        <f t="shared" si="17"/>
        <v>220593.39500000002</v>
      </c>
      <c r="G161" s="47">
        <f t="shared" si="17"/>
        <v>1455422.1960000002</v>
      </c>
      <c r="H161" s="47">
        <f t="shared" si="17"/>
        <v>25</v>
      </c>
      <c r="I161" s="49">
        <f t="shared" si="17"/>
        <v>7.0704230123388365</v>
      </c>
      <c r="J161" s="50">
        <f>+J160</f>
        <v>20.6</v>
      </c>
    </row>
    <row r="162" spans="1:10" x14ac:dyDescent="0.25">
      <c r="A162" s="20"/>
      <c r="B162" s="17"/>
      <c r="C162" s="21"/>
      <c r="D162" s="21"/>
      <c r="E162" s="21"/>
      <c r="F162" s="24"/>
      <c r="G162" s="21"/>
      <c r="H162" s="21"/>
      <c r="I162" s="28"/>
      <c r="J162" s="30"/>
    </row>
    <row r="163" spans="1:10" x14ac:dyDescent="0.25">
      <c r="A163" s="38">
        <v>2003</v>
      </c>
      <c r="B163" s="17"/>
      <c r="C163" s="21"/>
      <c r="D163" s="21"/>
      <c r="E163" s="21"/>
      <c r="F163" s="24"/>
      <c r="G163" s="21"/>
      <c r="H163" s="21"/>
      <c r="I163" s="28"/>
      <c r="J163" s="30"/>
    </row>
    <row r="164" spans="1:10" x14ac:dyDescent="0.25">
      <c r="A164" s="20" t="s">
        <v>13</v>
      </c>
      <c r="B164" s="17">
        <v>288</v>
      </c>
      <c r="C164" s="21">
        <v>34058426.149999999</v>
      </c>
      <c r="D164" s="21">
        <v>222282.31200000001</v>
      </c>
      <c r="E164" s="24">
        <v>0</v>
      </c>
      <c r="F164" s="24">
        <v>243.93</v>
      </c>
      <c r="G164" s="21">
        <v>93782.173999999999</v>
      </c>
      <c r="H164" s="21">
        <v>3</v>
      </c>
      <c r="I164" s="40">
        <v>0.65264998159640453</v>
      </c>
      <c r="J164" s="29">
        <v>19.68</v>
      </c>
    </row>
    <row r="165" spans="1:10" x14ac:dyDescent="0.25">
      <c r="A165" s="20" t="s">
        <v>14</v>
      </c>
      <c r="B165" s="17">
        <v>283</v>
      </c>
      <c r="C165" s="21">
        <v>34593976.539999999</v>
      </c>
      <c r="D165" s="21">
        <v>121217.194</v>
      </c>
      <c r="E165" s="24">
        <v>3895.1019999999999</v>
      </c>
      <c r="F165" s="24">
        <f>3940.489-3895.102</f>
        <v>45.387000000000171</v>
      </c>
      <c r="G165" s="21">
        <v>20953.810000000001</v>
      </c>
      <c r="H165" s="21">
        <v>3</v>
      </c>
      <c r="I165" s="40">
        <v>0.35039971152157118</v>
      </c>
      <c r="J165" s="29">
        <v>20.57</v>
      </c>
    </row>
    <row r="166" spans="1:10" x14ac:dyDescent="0.25">
      <c r="A166" s="20" t="s">
        <v>15</v>
      </c>
      <c r="B166" s="17">
        <v>286</v>
      </c>
      <c r="C166" s="21">
        <v>35231806.950000003</v>
      </c>
      <c r="D166" s="21">
        <v>227270.861</v>
      </c>
      <c r="E166" s="24">
        <v>0</v>
      </c>
      <c r="F166" s="24">
        <v>57797.962</v>
      </c>
      <c r="G166" s="21">
        <v>119673.516</v>
      </c>
      <c r="H166" s="21">
        <v>1</v>
      </c>
      <c r="I166" s="40">
        <v>0.64507296296933192</v>
      </c>
      <c r="J166" s="29">
        <v>21.29</v>
      </c>
    </row>
    <row r="167" spans="1:10" x14ac:dyDescent="0.25">
      <c r="A167" s="20" t="s">
        <v>16</v>
      </c>
      <c r="B167" s="17">
        <v>306</v>
      </c>
      <c r="C167" s="21">
        <v>39517893.880000003</v>
      </c>
      <c r="D167" s="21">
        <v>252654.16200000001</v>
      </c>
      <c r="E167" s="24">
        <f>6138.787+1202.142</f>
        <v>7340.9290000000001</v>
      </c>
      <c r="F167" s="24">
        <f>7467.777-6138.787-1202.142</f>
        <v>126.84799999999973</v>
      </c>
      <c r="G167" s="21">
        <v>133768.902</v>
      </c>
      <c r="H167" s="21">
        <v>2</v>
      </c>
      <c r="I167" s="40">
        <v>0.63934116217632797</v>
      </c>
      <c r="J167" s="29">
        <v>22.64</v>
      </c>
    </row>
    <row r="168" spans="1:10" x14ac:dyDescent="0.25">
      <c r="A168" s="20" t="s">
        <v>17</v>
      </c>
      <c r="B168" s="17">
        <v>294</v>
      </c>
      <c r="C168" s="21">
        <v>40473892.729999997</v>
      </c>
      <c r="D168" s="21">
        <v>464145.89199999999</v>
      </c>
      <c r="E168" s="24">
        <v>0</v>
      </c>
      <c r="F168" s="24">
        <v>1872.0889999999999</v>
      </c>
      <c r="G168" s="21">
        <v>656628.62800000003</v>
      </c>
      <c r="H168" s="21">
        <v>2</v>
      </c>
      <c r="I168" s="40">
        <v>1.1467784803806789</v>
      </c>
      <c r="J168" s="29">
        <v>19.68</v>
      </c>
    </row>
    <row r="169" spans="1:10" x14ac:dyDescent="0.25">
      <c r="A169" s="20" t="s">
        <v>18</v>
      </c>
      <c r="B169" s="17">
        <v>279</v>
      </c>
      <c r="C169" s="21">
        <v>41841968.549999997</v>
      </c>
      <c r="D169" s="21">
        <v>322439.478</v>
      </c>
      <c r="E169" s="24">
        <f>1.02+119.537+54.028+762.489</f>
        <v>937.07400000000007</v>
      </c>
      <c r="F169" s="52">
        <f>1344788.513-1.02-119.537-54.028-762.489</f>
        <v>1343851.439</v>
      </c>
      <c r="G169" s="21">
        <v>13251.290999999999</v>
      </c>
      <c r="H169" s="21">
        <v>2</v>
      </c>
      <c r="I169" s="40">
        <v>0.77061259107513969</v>
      </c>
      <c r="J169" s="29">
        <v>19.329999999999998</v>
      </c>
    </row>
    <row r="170" spans="1:10" x14ac:dyDescent="0.25">
      <c r="A170" s="20" t="s">
        <v>19</v>
      </c>
      <c r="B170" s="17">
        <v>282</v>
      </c>
      <c r="C170" s="21">
        <v>44456146.130000003</v>
      </c>
      <c r="D170" s="21">
        <v>349034.31699999998</v>
      </c>
      <c r="E170" s="24">
        <f>10243.167+1557.48+259.776+10879.331+1265.097</f>
        <v>24204.851000000002</v>
      </c>
      <c r="F170" s="24">
        <f>88706.122-10243.167-1557.48-259.776-10879.331-1265.097</f>
        <v>64501.271000000001</v>
      </c>
      <c r="G170" s="21">
        <v>57288.525999999998</v>
      </c>
      <c r="H170" s="21">
        <v>2</v>
      </c>
      <c r="I170" s="40">
        <v>0.78512050050254767</v>
      </c>
      <c r="J170" s="29">
        <v>20.16</v>
      </c>
    </row>
    <row r="171" spans="1:10" x14ac:dyDescent="0.25">
      <c r="A171" s="20" t="s">
        <v>20</v>
      </c>
      <c r="B171" s="17">
        <v>278</v>
      </c>
      <c r="C171" s="21">
        <v>47074922.950000003</v>
      </c>
      <c r="D171" s="21">
        <v>448528.26500000001</v>
      </c>
      <c r="E171" s="24">
        <f>1421.196+3502.169+11428.121</f>
        <v>16351.485999999999</v>
      </c>
      <c r="F171" s="24">
        <f>16352.728-1421.196-3502.169-11428.121</f>
        <v>1.2420000000001892</v>
      </c>
      <c r="G171" s="21">
        <v>117521.357</v>
      </c>
      <c r="H171" s="21">
        <v>3</v>
      </c>
      <c r="I171" s="40">
        <v>0.9527965993197659</v>
      </c>
      <c r="J171" s="29">
        <v>19.53</v>
      </c>
    </row>
    <row r="172" spans="1:10" x14ac:dyDescent="0.25">
      <c r="A172" s="20" t="s">
        <v>21</v>
      </c>
      <c r="B172" s="17">
        <v>273</v>
      </c>
      <c r="C172" s="21">
        <v>49070947.600000001</v>
      </c>
      <c r="D172" s="21">
        <v>360322.81099999999</v>
      </c>
      <c r="E172" s="24">
        <v>1487.7719999999999</v>
      </c>
      <c r="F172" s="24">
        <f>1581.325-1487.772</f>
        <v>93.553000000000111</v>
      </c>
      <c r="G172" s="21">
        <v>38947.425999999999</v>
      </c>
      <c r="H172" s="21">
        <v>3</v>
      </c>
      <c r="I172" s="40">
        <v>0.73428949026450008</v>
      </c>
      <c r="J172" s="29">
        <v>21.45</v>
      </c>
    </row>
    <row r="173" spans="1:10" x14ac:dyDescent="0.25">
      <c r="A173" s="20" t="s">
        <v>22</v>
      </c>
      <c r="B173" s="17">
        <v>278</v>
      </c>
      <c r="C173" s="21">
        <v>52167960.920000002</v>
      </c>
      <c r="D173" s="21">
        <v>677251.66299999994</v>
      </c>
      <c r="E173" s="24">
        <f>+(2713796+2419320)/1000</f>
        <v>5133.116</v>
      </c>
      <c r="F173" s="24">
        <f>0.087+89.394+1000.186</f>
        <v>1089.6670000000001</v>
      </c>
      <c r="G173" s="21">
        <v>102449.523</v>
      </c>
      <c r="H173" s="21">
        <v>2</v>
      </c>
      <c r="I173" s="40">
        <v>1.2982137907183511</v>
      </c>
      <c r="J173" s="29">
        <v>22.68</v>
      </c>
    </row>
    <row r="174" spans="1:10" x14ac:dyDescent="0.25">
      <c r="A174" s="20" t="s">
        <v>23</v>
      </c>
      <c r="B174" s="17">
        <v>274</v>
      </c>
      <c r="C174" s="21">
        <v>50587359.159999996</v>
      </c>
      <c r="D174" s="21">
        <v>604033.62600000005</v>
      </c>
      <c r="E174" s="24">
        <v>903.28899999999999</v>
      </c>
      <c r="F174" s="24">
        <f>62789.967-903.289</f>
        <v>61886.678</v>
      </c>
      <c r="G174" s="21">
        <v>50625.065000000002</v>
      </c>
      <c r="H174" s="21">
        <v>2</v>
      </c>
      <c r="I174" s="40">
        <v>1.1940406378785955</v>
      </c>
      <c r="J174" s="29">
        <v>22.55</v>
      </c>
    </row>
    <row r="175" spans="1:10" ht="16.5" thickBot="1" x14ac:dyDescent="0.3">
      <c r="A175" s="41" t="s">
        <v>24</v>
      </c>
      <c r="B175" s="41">
        <v>277</v>
      </c>
      <c r="C175" s="42">
        <v>51270928.369999997</v>
      </c>
      <c r="D175" s="42">
        <v>472993.71600000001</v>
      </c>
      <c r="E175" s="43">
        <f>431.26+1393.719</f>
        <v>1824.979</v>
      </c>
      <c r="F175" s="42">
        <f>92117.609-431.26-1393.719</f>
        <v>90292.63</v>
      </c>
      <c r="G175" s="42">
        <v>295610.10100000002</v>
      </c>
      <c r="H175" s="43">
        <v>4</v>
      </c>
      <c r="I175" s="44">
        <v>0.92253784169190389</v>
      </c>
      <c r="J175" s="45">
        <v>22.92</v>
      </c>
    </row>
    <row r="176" spans="1:10" x14ac:dyDescent="0.25">
      <c r="A176" s="36" t="s">
        <v>25</v>
      </c>
      <c r="B176" s="46">
        <f>+B175</f>
        <v>277</v>
      </c>
      <c r="C176" s="47">
        <f>+C175</f>
        <v>51270928.369999997</v>
      </c>
      <c r="D176" s="47">
        <f t="shared" ref="D176:I176" si="18">SUM(D164:D175)</f>
        <v>4522174.2970000003</v>
      </c>
      <c r="E176" s="47">
        <f t="shared" si="18"/>
        <v>62078.597999999998</v>
      </c>
      <c r="F176" s="48">
        <f t="shared" si="18"/>
        <v>1621802.696</v>
      </c>
      <c r="G176" s="47">
        <f t="shared" si="18"/>
        <v>1700500.3190000001</v>
      </c>
      <c r="H176" s="47">
        <f t="shared" si="18"/>
        <v>29</v>
      </c>
      <c r="I176" s="49">
        <f t="shared" si="18"/>
        <v>10.091853750095117</v>
      </c>
      <c r="J176" s="50">
        <f>+J175</f>
        <v>22.92</v>
      </c>
    </row>
    <row r="177" spans="1:10" x14ac:dyDescent="0.25">
      <c r="A177" s="20"/>
      <c r="B177" s="17"/>
      <c r="C177" s="21"/>
      <c r="D177" s="21"/>
      <c r="E177" s="21"/>
      <c r="F177" s="24"/>
      <c r="G177" s="21"/>
      <c r="H177" s="21"/>
      <c r="I177" s="28"/>
      <c r="J177" s="30"/>
    </row>
    <row r="178" spans="1:10" x14ac:dyDescent="0.25">
      <c r="A178" s="38">
        <v>2004</v>
      </c>
      <c r="B178" s="17"/>
      <c r="C178" s="21"/>
      <c r="D178" s="21"/>
      <c r="E178" s="21"/>
      <c r="F178" s="24"/>
      <c r="G178" s="21"/>
      <c r="H178" s="21"/>
      <c r="I178" s="28"/>
      <c r="J178" s="30"/>
    </row>
    <row r="179" spans="1:10" x14ac:dyDescent="0.25">
      <c r="A179" s="20" t="s">
        <v>13</v>
      </c>
      <c r="B179" s="17">
        <v>277</v>
      </c>
      <c r="C179" s="21">
        <v>49720226.729999997</v>
      </c>
      <c r="D179" s="21">
        <v>335258.67800000001</v>
      </c>
      <c r="E179" s="21">
        <v>0.34</v>
      </c>
      <c r="F179" s="24">
        <f>2734.8-E179</f>
        <v>2734.46</v>
      </c>
      <c r="G179" s="21">
        <v>113797.868</v>
      </c>
      <c r="H179" s="21">
        <v>4</v>
      </c>
      <c r="I179" s="40">
        <v>0.67429032417849566</v>
      </c>
      <c r="J179" s="29">
        <v>20.97</v>
      </c>
    </row>
    <row r="180" spans="1:10" x14ac:dyDescent="0.25">
      <c r="A180" s="20" t="s">
        <v>14</v>
      </c>
      <c r="B180" s="17">
        <v>273</v>
      </c>
      <c r="C180" s="21">
        <v>53693971.649999999</v>
      </c>
      <c r="D180" s="21">
        <v>342018.97200000001</v>
      </c>
      <c r="E180" s="21">
        <f>698.52+2906.734+7124.996</f>
        <v>10730.25</v>
      </c>
      <c r="F180" s="24">
        <f>75.253+98.552+0.53</f>
        <v>174.33500000000001</v>
      </c>
      <c r="G180" s="21">
        <v>124476.219</v>
      </c>
      <c r="H180" s="21">
        <v>2</v>
      </c>
      <c r="I180" s="40">
        <v>0.63697834503549899</v>
      </c>
      <c r="J180" s="29">
        <v>23.22</v>
      </c>
    </row>
    <row r="181" spans="1:10" x14ac:dyDescent="0.25">
      <c r="A181" s="20" t="s">
        <v>15</v>
      </c>
      <c r="B181" s="17">
        <v>271</v>
      </c>
      <c r="C181" s="21">
        <v>52734874.020000003</v>
      </c>
      <c r="D181" s="21">
        <v>522996.05200000003</v>
      </c>
      <c r="E181" s="21">
        <v>521.46799999999996</v>
      </c>
      <c r="F181" s="24">
        <f>3730.811+144.332</f>
        <v>3875.143</v>
      </c>
      <c r="G181" s="21">
        <v>169259.962</v>
      </c>
      <c r="H181" s="21">
        <v>4</v>
      </c>
      <c r="I181" s="40">
        <v>0.99174609159329885</v>
      </c>
      <c r="J181" s="29">
        <v>21.86</v>
      </c>
    </row>
    <row r="182" spans="1:10" x14ac:dyDescent="0.25">
      <c r="A182" s="20" t="s">
        <v>16</v>
      </c>
      <c r="B182" s="17">
        <v>277</v>
      </c>
      <c r="C182" s="21">
        <v>51876455.409999996</v>
      </c>
      <c r="D182" s="21">
        <v>486295.12400000001</v>
      </c>
      <c r="E182" s="21">
        <f>34477.193+3411.031+506.795</f>
        <v>38395.019</v>
      </c>
      <c r="F182" s="24">
        <f>28793.319+16753.779+565.84</f>
        <v>46112.937999999995</v>
      </c>
      <c r="G182" s="21">
        <v>212475.95499999999</v>
      </c>
      <c r="H182" s="21">
        <v>1</v>
      </c>
      <c r="I182" s="40">
        <v>0.93741008354680122</v>
      </c>
      <c r="J182" s="29">
        <v>22.48</v>
      </c>
    </row>
    <row r="183" spans="1:10" x14ac:dyDescent="0.25">
      <c r="A183" s="20" t="s">
        <v>17</v>
      </c>
      <c r="B183" s="17">
        <v>271</v>
      </c>
      <c r="C183" s="21">
        <v>52548443.869999997</v>
      </c>
      <c r="D183" s="21">
        <v>680382.23800000001</v>
      </c>
      <c r="E183" s="21">
        <f>59.809+1929.862+832.449</f>
        <v>2822.12</v>
      </c>
      <c r="F183" s="24">
        <f>284356.016-E183</f>
        <v>281533.89600000001</v>
      </c>
      <c r="G183" s="21">
        <v>611755.30799999996</v>
      </c>
      <c r="H183" s="21">
        <v>2</v>
      </c>
      <c r="I183" s="40">
        <v>1.2947714297367261</v>
      </c>
      <c r="J183" s="29">
        <v>25.91</v>
      </c>
    </row>
    <row r="184" spans="1:10" x14ac:dyDescent="0.25">
      <c r="A184" s="20" t="s">
        <v>18</v>
      </c>
      <c r="B184" s="17">
        <v>275</v>
      </c>
      <c r="C184" s="21">
        <v>54565784.090000004</v>
      </c>
      <c r="D184" s="21">
        <v>368902.19300000003</v>
      </c>
      <c r="E184" s="21">
        <f>4808.387+2219.093</f>
        <v>7027.48</v>
      </c>
      <c r="F184" s="24">
        <f>19106.083-E184</f>
        <v>12078.602999999999</v>
      </c>
      <c r="G184" s="21">
        <v>17809.797999999999</v>
      </c>
      <c r="H184" s="21">
        <v>2</v>
      </c>
      <c r="I184" s="40">
        <v>0.67606871073553743</v>
      </c>
      <c r="J184" s="29">
        <v>26.93</v>
      </c>
    </row>
    <row r="185" spans="1:10" x14ac:dyDescent="0.25">
      <c r="A185" s="20" t="s">
        <v>19</v>
      </c>
      <c r="B185" s="17">
        <v>279</v>
      </c>
      <c r="C185" s="21">
        <v>56747843.740000002</v>
      </c>
      <c r="D185" s="21">
        <v>398436.511</v>
      </c>
      <c r="E185" s="21">
        <v>0</v>
      </c>
      <c r="F185" s="21">
        <v>5751.027</v>
      </c>
      <c r="G185" s="21">
        <v>38326.750999999997</v>
      </c>
      <c r="H185" s="21">
        <v>1</v>
      </c>
      <c r="I185" s="40">
        <v>0.70211744577557045</v>
      </c>
      <c r="J185" s="29">
        <v>26.69</v>
      </c>
    </row>
    <row r="186" spans="1:10" x14ac:dyDescent="0.25">
      <c r="A186" s="20" t="s">
        <v>20</v>
      </c>
      <c r="B186" s="17">
        <v>276</v>
      </c>
      <c r="C186" s="21">
        <v>58625462.82</v>
      </c>
      <c r="D186" s="21">
        <v>1106986.4790000001</v>
      </c>
      <c r="E186" s="21">
        <f>158402.554-F186</f>
        <v>3574.6320000000123</v>
      </c>
      <c r="F186" s="24">
        <f>153996.253+831.669</f>
        <v>154827.92199999999</v>
      </c>
      <c r="G186" s="21">
        <v>561341.38800000004</v>
      </c>
      <c r="H186" s="21">
        <v>3</v>
      </c>
      <c r="I186" s="40">
        <v>1.8882349507394474</v>
      </c>
      <c r="J186" s="29">
        <v>20.92</v>
      </c>
    </row>
    <row r="187" spans="1:10" x14ac:dyDescent="0.25">
      <c r="A187" s="20" t="s">
        <v>21</v>
      </c>
      <c r="B187" s="17">
        <v>274</v>
      </c>
      <c r="C187" s="21">
        <v>60296210.210000001</v>
      </c>
      <c r="D187" s="21">
        <v>723935.00600000005</v>
      </c>
      <c r="E187" s="21">
        <f>3299.832-F187</f>
        <v>2247.5479999999998</v>
      </c>
      <c r="F187" s="24">
        <v>1052.2840000000001</v>
      </c>
      <c r="G187" s="21">
        <v>69887.430999999997</v>
      </c>
      <c r="H187" s="21">
        <v>0</v>
      </c>
      <c r="I187" s="40">
        <v>1.2006310238714422</v>
      </c>
      <c r="J187" s="29">
        <v>21.66</v>
      </c>
    </row>
    <row r="188" spans="1:10" x14ac:dyDescent="0.25">
      <c r="A188" s="20" t="s">
        <v>22</v>
      </c>
      <c r="B188" s="17">
        <v>277</v>
      </c>
      <c r="C188" s="21">
        <v>62265749.369999997</v>
      </c>
      <c r="D188" s="21">
        <v>814789.48499999999</v>
      </c>
      <c r="E188" s="21">
        <v>0</v>
      </c>
      <c r="F188" s="21">
        <v>18974.664000000001</v>
      </c>
      <c r="G188" s="21">
        <v>95667.153999999995</v>
      </c>
      <c r="H188" s="21">
        <v>2</v>
      </c>
      <c r="I188" s="40">
        <v>1.3085677009334611</v>
      </c>
      <c r="J188" s="29">
        <v>21.78</v>
      </c>
    </row>
    <row r="189" spans="1:10" x14ac:dyDescent="0.25">
      <c r="A189" s="20" t="s">
        <v>23</v>
      </c>
      <c r="B189" s="17">
        <v>275</v>
      </c>
      <c r="C189" s="21">
        <v>64739294.100000001</v>
      </c>
      <c r="D189" s="21">
        <v>823642.76</v>
      </c>
      <c r="E189" s="21">
        <v>3416.2489999999998</v>
      </c>
      <c r="F189" s="24">
        <v>0</v>
      </c>
      <c r="G189" s="21">
        <v>191587.83900000001</v>
      </c>
      <c r="H189" s="21">
        <v>0</v>
      </c>
      <c r="I189" s="40">
        <v>1.272245506303721</v>
      </c>
      <c r="J189" s="29">
        <v>20.3</v>
      </c>
    </row>
    <row r="190" spans="1:10" ht="16.5" thickBot="1" x14ac:dyDescent="0.3">
      <c r="A190" s="41" t="s">
        <v>24</v>
      </c>
      <c r="B190" s="41">
        <v>281</v>
      </c>
      <c r="C190" s="42">
        <v>65058783.079999998</v>
      </c>
      <c r="D190" s="42">
        <v>666639.29399999999</v>
      </c>
      <c r="E190" s="43">
        <v>9.9529999999999994</v>
      </c>
      <c r="F190" s="42">
        <f>35504.816-E190</f>
        <v>35494.862999999998</v>
      </c>
      <c r="G190" s="42">
        <v>185654.89300000001</v>
      </c>
      <c r="H190" s="43">
        <v>1</v>
      </c>
      <c r="I190" s="44">
        <v>1.024672246298032</v>
      </c>
      <c r="J190" s="45">
        <v>20.03</v>
      </c>
    </row>
    <row r="191" spans="1:10" x14ac:dyDescent="0.25">
      <c r="A191" s="36" t="s">
        <v>25</v>
      </c>
      <c r="B191" s="46">
        <f>+B190</f>
        <v>281</v>
      </c>
      <c r="C191" s="47">
        <f>+C190</f>
        <v>65058783.079999998</v>
      </c>
      <c r="D191" s="47">
        <f t="shared" ref="D191:I191" si="19">SUM(D179:D190)</f>
        <v>7270282.7920000004</v>
      </c>
      <c r="E191" s="47">
        <f t="shared" si="19"/>
        <v>68745.059000000023</v>
      </c>
      <c r="F191" s="48">
        <f t="shared" si="19"/>
        <v>562610.13500000001</v>
      </c>
      <c r="G191" s="47">
        <f t="shared" si="19"/>
        <v>2392040.5660000001</v>
      </c>
      <c r="H191" s="47">
        <f t="shared" si="19"/>
        <v>22</v>
      </c>
      <c r="I191" s="49">
        <f t="shared" si="19"/>
        <v>12.607733858748031</v>
      </c>
      <c r="J191" s="50">
        <f>+J190</f>
        <v>20.03</v>
      </c>
    </row>
    <row r="192" spans="1:10" x14ac:dyDescent="0.25">
      <c r="A192" s="20"/>
      <c r="B192" s="17"/>
      <c r="C192" s="21"/>
      <c r="D192" s="21"/>
      <c r="E192" s="21"/>
      <c r="F192" s="24"/>
      <c r="G192" s="21"/>
      <c r="H192" s="21"/>
      <c r="I192" s="28"/>
      <c r="J192" s="30"/>
    </row>
    <row r="193" spans="1:10" x14ac:dyDescent="0.25">
      <c r="A193" s="55">
        <v>2005</v>
      </c>
      <c r="B193" s="17"/>
      <c r="C193" s="21"/>
      <c r="D193" s="21"/>
      <c r="E193" s="21"/>
      <c r="F193" s="24"/>
      <c r="G193" s="21"/>
      <c r="H193" s="21"/>
      <c r="I193" s="28"/>
      <c r="J193" s="30"/>
    </row>
    <row r="194" spans="1:10" x14ac:dyDescent="0.25">
      <c r="A194" s="20" t="s">
        <v>13</v>
      </c>
      <c r="B194" s="17">
        <v>272</v>
      </c>
      <c r="C194" s="21">
        <v>64413376.75</v>
      </c>
      <c r="D194" s="21">
        <f>689816903/1000</f>
        <v>689816.90300000005</v>
      </c>
      <c r="E194" s="21">
        <v>29.443000000000001</v>
      </c>
      <c r="F194" s="24">
        <f>99640/1000</f>
        <v>99.64</v>
      </c>
      <c r="G194" s="21">
        <f>132686741/1000</f>
        <v>132686.74100000001</v>
      </c>
      <c r="H194" s="21">
        <v>1</v>
      </c>
      <c r="I194" s="40">
        <v>1.0709218143884998</v>
      </c>
      <c r="J194" s="29">
        <v>19.88</v>
      </c>
    </row>
    <row r="195" spans="1:10" x14ac:dyDescent="0.25">
      <c r="A195" s="20" t="s">
        <v>14</v>
      </c>
      <c r="B195" s="17">
        <v>268</v>
      </c>
      <c r="C195" s="21">
        <v>66740463.170000002</v>
      </c>
      <c r="D195" s="21">
        <f>401347260/1000</f>
        <v>401347.26</v>
      </c>
      <c r="E195" s="21">
        <f>1815087/1000</f>
        <v>1815.087</v>
      </c>
      <c r="F195" s="24">
        <f>1785805/1000</f>
        <v>1785.8050000000001</v>
      </c>
      <c r="G195" s="21">
        <f>28803635/1000</f>
        <v>28803.634999999998</v>
      </c>
      <c r="H195" s="21">
        <v>5</v>
      </c>
      <c r="I195" s="40">
        <v>0.60135522131108998</v>
      </c>
      <c r="J195" s="29">
        <v>22.34</v>
      </c>
    </row>
    <row r="196" spans="1:10" x14ac:dyDescent="0.25">
      <c r="A196" s="20" t="s">
        <v>15</v>
      </c>
      <c r="B196" s="17">
        <v>279</v>
      </c>
      <c r="C196" s="21">
        <v>68538942.120000005</v>
      </c>
      <c r="D196" s="21">
        <f>8884839000/1000</f>
        <v>8884839</v>
      </c>
      <c r="E196" s="21">
        <f>2502677/1000</f>
        <v>2502.6770000000001</v>
      </c>
      <c r="F196" s="24">
        <f>2776544/1000</f>
        <v>2776.5439999999999</v>
      </c>
      <c r="G196" s="21">
        <f>201322640/1000</f>
        <v>201322.64</v>
      </c>
      <c r="H196" s="21">
        <v>6</v>
      </c>
      <c r="I196" s="40">
        <v>12.963198329563012</v>
      </c>
      <c r="J196" s="29">
        <v>21.16</v>
      </c>
    </row>
    <row r="197" spans="1:10" x14ac:dyDescent="0.25">
      <c r="A197" s="20" t="s">
        <v>16</v>
      </c>
      <c r="B197" s="17">
        <v>288</v>
      </c>
      <c r="C197" s="21">
        <v>67547492.329999998</v>
      </c>
      <c r="D197" s="21">
        <f>1045602414/1000</f>
        <v>1045602.414</v>
      </c>
      <c r="E197" s="21">
        <f>5435835/1000</f>
        <v>5435.835</v>
      </c>
      <c r="F197" s="24">
        <f>624564756/1000</f>
        <v>624564.75600000005</v>
      </c>
      <c r="G197" s="21">
        <f>528756652/1000</f>
        <v>528756.652</v>
      </c>
      <c r="H197" s="21">
        <v>3</v>
      </c>
      <c r="I197" s="40">
        <v>1.5479514900298001</v>
      </c>
      <c r="J197" s="29">
        <v>20.21</v>
      </c>
    </row>
    <row r="198" spans="1:10" x14ac:dyDescent="0.25">
      <c r="A198" s="20" t="s">
        <v>17</v>
      </c>
      <c r="B198" s="17">
        <v>274</v>
      </c>
      <c r="C198" s="21">
        <v>67977736.049999997</v>
      </c>
      <c r="D198" s="21">
        <f>945529455/1000</f>
        <v>945529.45499999996</v>
      </c>
      <c r="E198" s="21">
        <f>+(3980710+5004)/1000</f>
        <v>3985.7139999999999</v>
      </c>
      <c r="F198" s="24">
        <f>+(195509+44327466)/1000</f>
        <v>44522.974999999999</v>
      </c>
      <c r="G198" s="21">
        <f>981707801/1000</f>
        <v>981707.80099999998</v>
      </c>
      <c r="H198" s="21">
        <v>6</v>
      </c>
      <c r="I198" s="40">
        <v>1.3909399017121282</v>
      </c>
      <c r="J198" s="29">
        <v>21.4</v>
      </c>
    </row>
    <row r="199" spans="1:10" x14ac:dyDescent="0.25">
      <c r="A199" s="20" t="s">
        <v>18</v>
      </c>
      <c r="B199" s="17">
        <v>280</v>
      </c>
      <c r="C199" s="21">
        <v>70226112.670000002</v>
      </c>
      <c r="D199" s="21">
        <f>849566257/1000</f>
        <v>849566.25699999998</v>
      </c>
      <c r="E199" s="21">
        <f>377765/1000</f>
        <v>377.76499999999999</v>
      </c>
      <c r="F199" s="24">
        <f>+(666027+5290348)/1000</f>
        <v>5956.375</v>
      </c>
      <c r="G199" s="21">
        <f>212564062/1000</f>
        <v>212564.06200000001</v>
      </c>
      <c r="H199" s="21">
        <v>3</v>
      </c>
      <c r="I199" s="40">
        <v>1.209758343014375</v>
      </c>
      <c r="J199" s="29">
        <v>22.38</v>
      </c>
    </row>
    <row r="200" spans="1:10" x14ac:dyDescent="0.25">
      <c r="A200" s="20" t="s">
        <v>19</v>
      </c>
      <c r="B200" s="17">
        <v>278</v>
      </c>
      <c r="C200" s="21">
        <v>75200408.260000005</v>
      </c>
      <c r="D200" s="21">
        <f>1136669927/1000</f>
        <v>1136669.9269999999</v>
      </c>
      <c r="E200" s="21">
        <f>+(7017+169858)/1000</f>
        <v>176.875</v>
      </c>
      <c r="F200" s="24">
        <f>+(335+22578571)/1000</f>
        <v>22578.905999999999</v>
      </c>
      <c r="G200" s="21">
        <f>60751807/1000</f>
        <v>60751.807000000001</v>
      </c>
      <c r="H200" s="21">
        <v>3</v>
      </c>
      <c r="I200" s="40">
        <v>1.5115209522135111</v>
      </c>
      <c r="J200" s="29">
        <v>21.84</v>
      </c>
    </row>
    <row r="201" spans="1:10" x14ac:dyDescent="0.25">
      <c r="A201" s="20" t="s">
        <v>20</v>
      </c>
      <c r="B201" s="17">
        <v>279</v>
      </c>
      <c r="C201" s="21">
        <v>73154088.780000001</v>
      </c>
      <c r="D201" s="21">
        <f>1060312961/1000</f>
        <v>1060312.9609999999</v>
      </c>
      <c r="E201" s="21">
        <f>+(8697023)/1000</f>
        <v>8697.0229999999992</v>
      </c>
      <c r="F201" s="24">
        <f>2192691/1000</f>
        <v>2192.6909999999998</v>
      </c>
      <c r="G201" s="21">
        <f>36634019/1000</f>
        <v>36634.019</v>
      </c>
      <c r="H201" s="21">
        <v>0</v>
      </c>
      <c r="I201" s="40">
        <v>1.4494240563760321</v>
      </c>
      <c r="J201" s="29">
        <v>19.02</v>
      </c>
    </row>
    <row r="202" spans="1:10" x14ac:dyDescent="0.25">
      <c r="A202" s="20" t="s">
        <v>21</v>
      </c>
      <c r="B202" s="17">
        <v>275</v>
      </c>
      <c r="C202" s="21">
        <v>75340233.909999996</v>
      </c>
      <c r="D202" s="21">
        <f>765275904/1000</f>
        <v>765275.90399999998</v>
      </c>
      <c r="E202" s="21">
        <f>+(24052715)/1000</f>
        <v>24052.715</v>
      </c>
      <c r="F202" s="24">
        <f>158646/1000</f>
        <v>158.64599999999999</v>
      </c>
      <c r="G202" s="21">
        <f>6722182/1000</f>
        <v>6722.1819999999998</v>
      </c>
      <c r="H202" s="21">
        <v>3</v>
      </c>
      <c r="I202" s="40">
        <v>1.0157599257180219</v>
      </c>
      <c r="J202" s="29">
        <v>19.55</v>
      </c>
    </row>
    <row r="203" spans="1:10" x14ac:dyDescent="0.25">
      <c r="A203" s="20" t="s">
        <v>22</v>
      </c>
      <c r="B203" s="17">
        <v>281</v>
      </c>
      <c r="C203" s="21">
        <v>73601017.890000001</v>
      </c>
      <c r="D203" s="21">
        <f>794659833/1000</f>
        <v>794659.83299999998</v>
      </c>
      <c r="E203" s="21">
        <f>+(18621360+149988)/1000</f>
        <v>18771.348000000002</v>
      </c>
      <c r="F203" s="24">
        <f>+(106+84304068)/1000</f>
        <v>84304.173999999999</v>
      </c>
      <c r="G203" s="21">
        <f>99834920/1000</f>
        <v>99834.92</v>
      </c>
      <c r="H203" s="21">
        <v>5</v>
      </c>
      <c r="I203" s="40">
        <v>1.0796859279686246</v>
      </c>
      <c r="J203" s="29">
        <v>20.49</v>
      </c>
    </row>
    <row r="204" spans="1:10" x14ac:dyDescent="0.25">
      <c r="A204" s="20" t="s">
        <v>23</v>
      </c>
      <c r="B204" s="17">
        <v>281</v>
      </c>
      <c r="C204" s="21">
        <v>71902096.609999999</v>
      </c>
      <c r="D204" s="21">
        <f>992982169/1000</f>
        <v>992982.16899999999</v>
      </c>
      <c r="E204" s="21">
        <v>11.082000000000001</v>
      </c>
      <c r="F204" s="24">
        <f>+(147537025+44967565)/1000</f>
        <v>192504.59</v>
      </c>
      <c r="G204" s="21">
        <f>85622920/1000</f>
        <v>85622.92</v>
      </c>
      <c r="H204" s="21">
        <v>3</v>
      </c>
      <c r="I204" s="40">
        <v>1.3810197696820679</v>
      </c>
      <c r="J204" s="29">
        <v>20.68</v>
      </c>
    </row>
    <row r="205" spans="1:10" ht="16.5" thickBot="1" x14ac:dyDescent="0.3">
      <c r="A205" s="41" t="s">
        <v>24</v>
      </c>
      <c r="B205" s="41">
        <v>257</v>
      </c>
      <c r="C205" s="42">
        <v>69867057.480000004</v>
      </c>
      <c r="D205" s="42">
        <f>901477191/1000</f>
        <v>901477.19099999999</v>
      </c>
      <c r="E205" s="43">
        <f>1027466/1000</f>
        <v>1027.4659999999999</v>
      </c>
      <c r="F205" s="42">
        <f>+(672647+96960349)/1000</f>
        <v>97632.995999999999</v>
      </c>
      <c r="G205" s="42">
        <f>200925700/1000</f>
        <v>200925.7</v>
      </c>
      <c r="H205" s="43">
        <v>1</v>
      </c>
      <c r="I205" s="44">
        <v>1.2902750216123744</v>
      </c>
      <c r="J205" s="45">
        <v>19.84</v>
      </c>
    </row>
    <row r="206" spans="1:10" x14ac:dyDescent="0.25">
      <c r="A206" s="36" t="s">
        <v>25</v>
      </c>
      <c r="B206" s="46">
        <f>+B205</f>
        <v>257</v>
      </c>
      <c r="C206" s="47">
        <f>+C205</f>
        <v>69867057.480000004</v>
      </c>
      <c r="D206" s="47">
        <f t="shared" ref="D206:I206" si="20">SUM(D194:D205)</f>
        <v>18468079.274</v>
      </c>
      <c r="E206" s="47">
        <f t="shared" si="20"/>
        <v>66883.03</v>
      </c>
      <c r="F206" s="48">
        <f t="shared" si="20"/>
        <v>1079078.0979999998</v>
      </c>
      <c r="G206" s="47">
        <f t="shared" si="20"/>
        <v>2576333.0789999999</v>
      </c>
      <c r="H206" s="47">
        <f t="shared" si="20"/>
        <v>39</v>
      </c>
      <c r="I206" s="49">
        <f t="shared" si="20"/>
        <v>26.51181075358954</v>
      </c>
      <c r="J206" s="50">
        <f>+J205</f>
        <v>19.84</v>
      </c>
    </row>
    <row r="207" spans="1:10" x14ac:dyDescent="0.25">
      <c r="A207" s="20"/>
      <c r="B207" s="17"/>
      <c r="C207" s="21"/>
      <c r="D207" s="21"/>
      <c r="E207" s="21"/>
      <c r="F207" s="24"/>
      <c r="G207" s="21"/>
      <c r="H207" s="21"/>
      <c r="I207" s="28"/>
      <c r="J207" s="30"/>
    </row>
    <row r="208" spans="1:10" x14ac:dyDescent="0.25">
      <c r="A208" s="55">
        <v>2006</v>
      </c>
      <c r="B208" s="17"/>
      <c r="C208" s="21"/>
      <c r="D208" s="21"/>
      <c r="E208" s="21"/>
      <c r="F208" s="24"/>
      <c r="G208" s="21"/>
      <c r="H208" s="21"/>
      <c r="I208" s="28"/>
      <c r="J208" s="30"/>
    </row>
    <row r="209" spans="1:19" x14ac:dyDescent="0.25">
      <c r="A209" s="20" t="s">
        <v>13</v>
      </c>
      <c r="B209" s="17">
        <v>274</v>
      </c>
      <c r="C209" s="21">
        <v>73018722.489999995</v>
      </c>
      <c r="D209" s="21">
        <f>860506861/1000</f>
        <v>860506.86100000003</v>
      </c>
      <c r="E209" s="21">
        <f>59323867/1000</f>
        <v>59323.866999999998</v>
      </c>
      <c r="F209" s="24">
        <f>60363540/1000</f>
        <v>60363.54</v>
      </c>
      <c r="G209" s="21">
        <f>137213814/1000</f>
        <v>137213.81400000001</v>
      </c>
      <c r="H209" s="21">
        <v>0</v>
      </c>
      <c r="I209" s="40">
        <v>1.178474275714489</v>
      </c>
      <c r="J209" s="29">
        <v>21.55</v>
      </c>
    </row>
    <row r="210" spans="1:19" x14ac:dyDescent="0.25">
      <c r="A210" s="20" t="s">
        <v>14</v>
      </c>
      <c r="B210" s="17">
        <v>277</v>
      </c>
      <c r="C210" s="21">
        <v>74568707.840000004</v>
      </c>
      <c r="D210" s="21">
        <f>766600021/1000</f>
        <v>766600.02099999995</v>
      </c>
      <c r="E210" s="21">
        <f>+(38397397+94582376)/1000</f>
        <v>132979.77299999999</v>
      </c>
      <c r="F210" s="24">
        <f>37520159/1000</f>
        <v>37520.159</v>
      </c>
      <c r="G210" s="21">
        <f>327170154/1000</f>
        <v>327170.15399999998</v>
      </c>
      <c r="H210" s="21">
        <v>4</v>
      </c>
      <c r="I210" s="40">
        <v>1.0280451991267867</v>
      </c>
      <c r="J210" s="29">
        <v>22.52</v>
      </c>
    </row>
    <row r="211" spans="1:19" x14ac:dyDescent="0.25">
      <c r="A211" s="20" t="s">
        <v>15</v>
      </c>
      <c r="B211" s="17">
        <v>278</v>
      </c>
      <c r="C211" s="21">
        <v>75228071.090000004</v>
      </c>
      <c r="D211" s="21">
        <f>1318919014/1000</f>
        <v>1318919.014</v>
      </c>
      <c r="E211" s="21">
        <f>+(2720981+27531858)/1000</f>
        <v>30252.839</v>
      </c>
      <c r="F211" s="24">
        <f>19467252/1000</f>
        <v>19467.252</v>
      </c>
      <c r="G211" s="21">
        <f>251615061/1000</f>
        <v>251615.06099999999</v>
      </c>
      <c r="H211" s="21">
        <v>0</v>
      </c>
      <c r="I211" s="40">
        <v>1.7532272127808453</v>
      </c>
      <c r="J211" s="29">
        <v>22.72</v>
      </c>
    </row>
    <row r="212" spans="1:19" x14ac:dyDescent="0.25">
      <c r="A212" s="20" t="s">
        <v>16</v>
      </c>
      <c r="B212" s="17">
        <v>300</v>
      </c>
      <c r="C212" s="21">
        <v>77188773.670000002</v>
      </c>
      <c r="D212" s="21">
        <f>912259385/1000</f>
        <v>912259.38500000001</v>
      </c>
      <c r="E212" s="21">
        <f>49302628/1000</f>
        <v>49302.627999999997</v>
      </c>
      <c r="F212" s="24">
        <f>106689/1000</f>
        <v>106.68899999999999</v>
      </c>
      <c r="G212" s="21">
        <f>445089200/1000</f>
        <v>445089.2</v>
      </c>
      <c r="H212" s="21">
        <v>0</v>
      </c>
      <c r="I212" s="40">
        <v>1.1818550051075063</v>
      </c>
      <c r="J212" s="29">
        <v>22.43</v>
      </c>
    </row>
    <row r="213" spans="1:19" x14ac:dyDescent="0.25">
      <c r="A213" s="20" t="s">
        <v>17</v>
      </c>
      <c r="B213" s="17">
        <v>280</v>
      </c>
      <c r="C213" s="21">
        <v>74945052.469999999</v>
      </c>
      <c r="D213" s="21">
        <f>1823114063/1000</f>
        <v>1823114.0630000001</v>
      </c>
      <c r="E213" s="21">
        <f>+(339976+10434365+5329)/1000</f>
        <v>10779.67</v>
      </c>
      <c r="F213" s="24">
        <f>+(11783+9350934)/1000</f>
        <v>9362.7170000000006</v>
      </c>
      <c r="G213" s="21">
        <f>833185421/1000</f>
        <v>833185.42099999997</v>
      </c>
      <c r="H213" s="21">
        <v>3</v>
      </c>
      <c r="I213" s="40">
        <v>2.4326009561869082</v>
      </c>
      <c r="J213" s="29">
        <v>21.14</v>
      </c>
    </row>
    <row r="214" spans="1:19" x14ac:dyDescent="0.25">
      <c r="A214" s="20" t="s">
        <v>18</v>
      </c>
      <c r="B214" s="17">
        <v>280</v>
      </c>
      <c r="C214" s="21">
        <v>74370733.25</v>
      </c>
      <c r="D214" s="21">
        <f>946112204/1000</f>
        <v>946112.20400000003</v>
      </c>
      <c r="E214" s="21">
        <v>5.3289999999999997</v>
      </c>
      <c r="F214" s="24">
        <f>+(1048646+267090+2865)/1000</f>
        <v>1318.6010000000001</v>
      </c>
      <c r="G214" s="21">
        <f>170405151/1000</f>
        <v>170405.15100000001</v>
      </c>
      <c r="H214" s="21">
        <v>3</v>
      </c>
      <c r="I214" s="40">
        <v>1.2721566167965677</v>
      </c>
      <c r="J214" s="29">
        <v>20.63</v>
      </c>
    </row>
    <row r="215" spans="1:19" x14ac:dyDescent="0.25">
      <c r="A215" s="20" t="s">
        <v>19</v>
      </c>
      <c r="B215" s="17">
        <v>281</v>
      </c>
      <c r="C215" s="21">
        <v>74980774.159999996</v>
      </c>
      <c r="D215" s="21">
        <f>802468896/1000</f>
        <v>802468.89599999995</v>
      </c>
      <c r="E215" s="21">
        <f>+(5819188+2549973)/1000</f>
        <v>8369.1610000000001</v>
      </c>
      <c r="F215" s="24">
        <f>+(5822400+151887+71570+30500)/1000</f>
        <v>6076.357</v>
      </c>
      <c r="G215" s="21">
        <f>53065914/1000</f>
        <v>53065.913999999997</v>
      </c>
      <c r="H215" s="21">
        <v>1</v>
      </c>
      <c r="I215" s="40">
        <v>1.0702328763472453</v>
      </c>
      <c r="J215" s="29">
        <v>20.079999999999998</v>
      </c>
    </row>
    <row r="216" spans="1:19" x14ac:dyDescent="0.25">
      <c r="A216" s="20" t="s">
        <v>20</v>
      </c>
      <c r="B216" s="17">
        <v>284</v>
      </c>
      <c r="C216" s="21">
        <v>77407717.859999999</v>
      </c>
      <c r="D216" s="21">
        <f>1122552388/1000</f>
        <v>1122552.388</v>
      </c>
      <c r="E216" s="21">
        <f>+(13935920+53623692+4392464)/1000</f>
        <v>71952.076000000001</v>
      </c>
      <c r="F216" s="24">
        <f>+(49829+69005+98351)/1000</f>
        <v>217.185</v>
      </c>
      <c r="G216" s="21">
        <f>151948955/1000</f>
        <v>151948.95499999999</v>
      </c>
      <c r="H216" s="21">
        <v>4</v>
      </c>
      <c r="I216" s="40">
        <v>1.450181479358756</v>
      </c>
      <c r="J216" s="29">
        <v>19.88</v>
      </c>
    </row>
    <row r="217" spans="1:19" x14ac:dyDescent="0.25">
      <c r="A217" s="20" t="s">
        <v>21</v>
      </c>
      <c r="B217" s="17">
        <v>286</v>
      </c>
      <c r="C217" s="21">
        <v>80217951</v>
      </c>
      <c r="D217" s="21">
        <v>762404.90099999995</v>
      </c>
      <c r="E217" s="52">
        <v>6205.9849999999997</v>
      </c>
      <c r="F217" s="21">
        <v>52942.103999999999</v>
      </c>
      <c r="G217" s="21">
        <f>77683721/1000</f>
        <v>77683.721000000005</v>
      </c>
      <c r="H217" s="39">
        <v>2</v>
      </c>
      <c r="I217" s="40">
        <v>0.95041682253888515</v>
      </c>
      <c r="J217" s="29">
        <v>20.420000000000002</v>
      </c>
      <c r="L217" s="56"/>
      <c r="M217" s="57"/>
      <c r="N217" s="56"/>
      <c r="O217" s="56"/>
      <c r="P217" s="58"/>
      <c r="Q217" s="58"/>
      <c r="R217" s="51"/>
      <c r="S217" s="51"/>
    </row>
    <row r="218" spans="1:19" x14ac:dyDescent="0.25">
      <c r="A218" s="20" t="s">
        <v>22</v>
      </c>
      <c r="B218" s="17">
        <v>280</v>
      </c>
      <c r="C218" s="21">
        <v>83040883.870000005</v>
      </c>
      <c r="D218" s="21">
        <v>1144994.608</v>
      </c>
      <c r="E218" s="39">
        <v>28687.602999999999</v>
      </c>
      <c r="F218" s="21">
        <v>33803.421000000002</v>
      </c>
      <c r="G218" s="21">
        <v>157861.68599999999</v>
      </c>
      <c r="H218" s="39">
        <v>6</v>
      </c>
      <c r="I218" s="40">
        <v>1.3788323951277808</v>
      </c>
      <c r="J218" s="29">
        <v>18.87</v>
      </c>
      <c r="L218" s="51"/>
      <c r="M218" s="51"/>
      <c r="N218" s="51"/>
      <c r="O218" s="51"/>
      <c r="P218" s="51"/>
      <c r="Q218" s="51"/>
      <c r="R218" s="51"/>
      <c r="S218" s="51"/>
    </row>
    <row r="219" spans="1:19" x14ac:dyDescent="0.25">
      <c r="A219" s="20" t="s">
        <v>23</v>
      </c>
      <c r="B219" s="17">
        <v>288</v>
      </c>
      <c r="C219" s="21">
        <v>87990725.159999996</v>
      </c>
      <c r="D219" s="21">
        <v>2298763.5389999999</v>
      </c>
      <c r="E219" s="39">
        <v>5931.9260000000004</v>
      </c>
      <c r="F219" s="21">
        <v>976565.22199999995</v>
      </c>
      <c r="G219" s="21">
        <v>76340.929000000004</v>
      </c>
      <c r="H219" s="39">
        <v>4</v>
      </c>
      <c r="I219" s="40">
        <v>2.6125066418307039</v>
      </c>
      <c r="J219" s="29">
        <v>19.7</v>
      </c>
      <c r="L219" s="51"/>
      <c r="M219" s="51"/>
      <c r="N219" s="51"/>
      <c r="O219" s="51"/>
      <c r="P219" s="51"/>
      <c r="Q219" s="51"/>
      <c r="R219" s="51"/>
      <c r="S219" s="51"/>
    </row>
    <row r="220" spans="1:19" ht="16.5" thickBot="1" x14ac:dyDescent="0.3">
      <c r="A220" s="41" t="s">
        <v>24</v>
      </c>
      <c r="B220" s="41">
        <v>283</v>
      </c>
      <c r="C220" s="42">
        <v>92907288.260000005</v>
      </c>
      <c r="D220" s="42">
        <v>2536858.52</v>
      </c>
      <c r="E220" s="43">
        <v>0</v>
      </c>
      <c r="F220" s="42">
        <v>102173.247</v>
      </c>
      <c r="G220" s="42">
        <v>247948.43</v>
      </c>
      <c r="H220" s="43">
        <v>0</v>
      </c>
      <c r="I220" s="44">
        <v>2.7305269236796903</v>
      </c>
      <c r="J220" s="45">
        <v>20.73</v>
      </c>
    </row>
    <row r="221" spans="1:19" x14ac:dyDescent="0.25">
      <c r="A221" s="36" t="s">
        <v>25</v>
      </c>
      <c r="B221" s="46">
        <f>+B220</f>
        <v>283</v>
      </c>
      <c r="C221" s="47">
        <f>+C220</f>
        <v>92907288.260000005</v>
      </c>
      <c r="D221" s="47">
        <f t="shared" ref="D221:I221" si="21">SUM(D209:D220)</f>
        <v>15295554.399999999</v>
      </c>
      <c r="E221" s="59">
        <f t="shared" si="21"/>
        <v>403790.85699999996</v>
      </c>
      <c r="F221" s="48">
        <f t="shared" si="21"/>
        <v>1299916.4939999999</v>
      </c>
      <c r="G221" s="47">
        <f t="shared" si="21"/>
        <v>2929528.4359999998</v>
      </c>
      <c r="H221" s="47">
        <f t="shared" si="21"/>
        <v>27</v>
      </c>
      <c r="I221" s="49">
        <f t="shared" si="21"/>
        <v>19.039056404596167</v>
      </c>
      <c r="J221" s="60">
        <f>+J220</f>
        <v>20.73</v>
      </c>
    </row>
    <row r="222" spans="1:19" x14ac:dyDescent="0.25">
      <c r="E222" s="61"/>
      <c r="I222" s="62"/>
      <c r="J222" s="63"/>
    </row>
    <row r="223" spans="1:19" x14ac:dyDescent="0.25">
      <c r="A223" s="55">
        <v>2007</v>
      </c>
      <c r="B223" s="17"/>
      <c r="C223" s="21"/>
      <c r="D223" s="21"/>
      <c r="E223" s="39"/>
      <c r="F223" s="24"/>
      <c r="G223" s="21"/>
      <c r="H223" s="21"/>
      <c r="I223" s="28"/>
      <c r="J223" s="64"/>
    </row>
    <row r="224" spans="1:19" x14ac:dyDescent="0.25">
      <c r="A224" s="20" t="s">
        <v>13</v>
      </c>
      <c r="B224" s="17">
        <v>278</v>
      </c>
      <c r="C224" s="21">
        <v>96989356.219999999</v>
      </c>
      <c r="D224" s="21">
        <v>1681730.8589999999</v>
      </c>
      <c r="E224" s="39">
        <v>2258.9490000000001</v>
      </c>
      <c r="F224" s="6">
        <v>1002.1369999999999</v>
      </c>
      <c r="G224" s="21">
        <v>204538.64600000001</v>
      </c>
      <c r="H224" s="21">
        <v>0</v>
      </c>
      <c r="I224" s="40">
        <v>1.7339334175858909</v>
      </c>
      <c r="J224" s="65">
        <v>22.86</v>
      </c>
    </row>
    <row r="225" spans="1:19" x14ac:dyDescent="0.25">
      <c r="A225" s="20" t="s">
        <v>14</v>
      </c>
      <c r="B225" s="17">
        <v>278</v>
      </c>
      <c r="C225" s="21">
        <v>96467947.409999996</v>
      </c>
      <c r="D225" s="21">
        <v>1478301.831</v>
      </c>
      <c r="E225" s="39">
        <v>70696.707999999999</v>
      </c>
      <c r="F225" s="52">
        <v>0</v>
      </c>
      <c r="G225" s="21">
        <v>40842.269</v>
      </c>
      <c r="H225" s="21">
        <v>1</v>
      </c>
      <c r="I225" s="40">
        <v>1.5324279936392191</v>
      </c>
      <c r="J225" s="65">
        <v>21.59</v>
      </c>
    </row>
    <row r="226" spans="1:19" x14ac:dyDescent="0.25">
      <c r="A226" s="20" t="s">
        <v>15</v>
      </c>
      <c r="B226" s="17">
        <v>280</v>
      </c>
      <c r="C226" s="21">
        <v>99556008.040000007</v>
      </c>
      <c r="D226" s="21">
        <v>1534960.246</v>
      </c>
      <c r="E226" s="39">
        <v>756.25800000000004</v>
      </c>
      <c r="F226" s="52">
        <v>26.727</v>
      </c>
      <c r="G226" s="21">
        <v>188442.30100000001</v>
      </c>
      <c r="H226" s="21">
        <v>2</v>
      </c>
      <c r="I226" s="40">
        <v>1.5418057395222975</v>
      </c>
      <c r="J226" s="65">
        <v>22.32</v>
      </c>
    </row>
    <row r="227" spans="1:19" x14ac:dyDescent="0.25">
      <c r="A227" s="20" t="s">
        <v>16</v>
      </c>
      <c r="B227" s="17">
        <v>286</v>
      </c>
      <c r="C227" s="21">
        <v>106231862.18000001</v>
      </c>
      <c r="D227" s="21">
        <v>1453608.1810000001</v>
      </c>
      <c r="E227" s="39">
        <v>15224.4</v>
      </c>
      <c r="F227" s="52">
        <v>39610.883999999998</v>
      </c>
      <c r="G227" s="21">
        <v>510092.60200000001</v>
      </c>
      <c r="H227" s="21">
        <v>3</v>
      </c>
      <c r="I227" s="40">
        <v>1.3683354044354379</v>
      </c>
      <c r="J227" s="65">
        <v>23.47</v>
      </c>
    </row>
    <row r="228" spans="1:19" x14ac:dyDescent="0.25">
      <c r="A228" s="20" t="s">
        <v>17</v>
      </c>
      <c r="B228" s="17">
        <v>282</v>
      </c>
      <c r="C228" s="21">
        <v>106920481.98</v>
      </c>
      <c r="D228" s="21">
        <v>2886620.4890000001</v>
      </c>
      <c r="E228" s="39">
        <v>10866.05</v>
      </c>
      <c r="F228" s="39">
        <v>138547.617</v>
      </c>
      <c r="G228" s="21">
        <v>1314388.7509999999</v>
      </c>
      <c r="H228" s="21">
        <v>2</v>
      </c>
      <c r="I228" s="40">
        <v>2.6997825258026396</v>
      </c>
      <c r="J228" s="65">
        <v>21.82</v>
      </c>
    </row>
    <row r="229" spans="1:19" x14ac:dyDescent="0.25">
      <c r="A229" s="20" t="s">
        <v>18</v>
      </c>
      <c r="B229" s="17">
        <v>279</v>
      </c>
      <c r="C229" s="21">
        <v>112995989.18000001</v>
      </c>
      <c r="D229" s="21">
        <v>2200332.2790000001</v>
      </c>
      <c r="E229" s="66">
        <v>35.405000000000001</v>
      </c>
      <c r="F229" s="52">
        <v>132189.954</v>
      </c>
      <c r="G229" s="21">
        <v>104400.20699999999</v>
      </c>
      <c r="H229" s="21">
        <v>3</v>
      </c>
      <c r="I229" s="40">
        <v>1.9472658232983133</v>
      </c>
      <c r="J229" s="65">
        <v>23.27</v>
      </c>
    </row>
    <row r="230" spans="1:19" x14ac:dyDescent="0.25">
      <c r="A230" s="20" t="s">
        <v>19</v>
      </c>
      <c r="B230" s="17">
        <v>278</v>
      </c>
      <c r="C230" s="21">
        <v>111046084.95</v>
      </c>
      <c r="D230" s="21">
        <v>1779148.21</v>
      </c>
      <c r="E230" s="39">
        <v>79180.870999999999</v>
      </c>
      <c r="F230" s="52">
        <v>320.46100000000001</v>
      </c>
      <c r="G230" s="21">
        <v>179382.345</v>
      </c>
      <c r="H230" s="21">
        <v>7</v>
      </c>
      <c r="I230" s="40">
        <v>1.6021710362873987</v>
      </c>
      <c r="J230" s="65">
        <v>23.7</v>
      </c>
    </row>
    <row r="231" spans="1:19" x14ac:dyDescent="0.25">
      <c r="A231" s="20" t="s">
        <v>20</v>
      </c>
      <c r="B231" s="17">
        <v>276</v>
      </c>
      <c r="C231" s="21">
        <v>110412965.19</v>
      </c>
      <c r="D231" s="21">
        <v>2319531.8790000002</v>
      </c>
      <c r="E231" s="39">
        <v>127413.53200000001</v>
      </c>
      <c r="F231" s="52">
        <v>247286.46100000001</v>
      </c>
      <c r="G231" s="21">
        <v>80094.497000000003</v>
      </c>
      <c r="H231" s="21">
        <v>3</v>
      </c>
      <c r="I231" s="40">
        <v>2.1007785408249124</v>
      </c>
      <c r="J231" s="65">
        <v>24.67</v>
      </c>
    </row>
    <row r="232" spans="1:19" x14ac:dyDescent="0.25">
      <c r="A232" s="20" t="s">
        <v>21</v>
      </c>
      <c r="B232" s="17">
        <v>277</v>
      </c>
      <c r="C232" s="21">
        <v>109478636.22</v>
      </c>
      <c r="D232" s="21">
        <v>1055603.3799999999</v>
      </c>
      <c r="E232" s="39">
        <v>1826.3140000000001</v>
      </c>
      <c r="F232" s="39">
        <v>3310.4789999999998</v>
      </c>
      <c r="G232" s="21">
        <v>74482.409</v>
      </c>
      <c r="H232" s="39">
        <v>4</v>
      </c>
      <c r="I232" s="40">
        <v>0.96420947177195282</v>
      </c>
      <c r="J232" s="29">
        <v>24.29</v>
      </c>
      <c r="L232" s="56"/>
      <c r="M232" s="57"/>
      <c r="N232" s="56"/>
      <c r="O232" s="56"/>
      <c r="P232" s="58"/>
      <c r="Q232" s="58"/>
      <c r="R232" s="51"/>
      <c r="S232" s="51"/>
    </row>
    <row r="233" spans="1:19" x14ac:dyDescent="0.25">
      <c r="A233" s="20" t="s">
        <v>22</v>
      </c>
      <c r="B233" s="17">
        <v>279</v>
      </c>
      <c r="C233" s="21">
        <v>115526825.09999999</v>
      </c>
      <c r="D233" s="21">
        <v>2005055.5390000001</v>
      </c>
      <c r="E233" s="39">
        <v>2275.7800000000002</v>
      </c>
      <c r="F233" s="39">
        <v>121328.602</v>
      </c>
      <c r="G233" s="21">
        <v>186876.43799999999</v>
      </c>
      <c r="H233" s="39">
        <v>2</v>
      </c>
      <c r="I233" s="40">
        <v>1.7355757308005517</v>
      </c>
      <c r="J233" s="29">
        <v>23.6</v>
      </c>
      <c r="L233" s="51"/>
      <c r="M233" s="51"/>
      <c r="N233" s="51"/>
      <c r="O233" s="51"/>
      <c r="P233" s="51"/>
      <c r="Q233" s="51"/>
      <c r="R233" s="51"/>
      <c r="S233" s="51"/>
    </row>
    <row r="234" spans="1:19" x14ac:dyDescent="0.25">
      <c r="A234" s="20" t="s">
        <v>23</v>
      </c>
      <c r="B234" s="17">
        <v>278</v>
      </c>
      <c r="C234" s="21">
        <v>109179604.77</v>
      </c>
      <c r="D234" s="21">
        <v>2980820.4950000001</v>
      </c>
      <c r="E234" s="5">
        <v>5486.2</v>
      </c>
      <c r="F234" s="39">
        <v>16939.099999999999</v>
      </c>
      <c r="G234" s="39">
        <v>118519</v>
      </c>
      <c r="H234" s="39">
        <v>4</v>
      </c>
      <c r="I234" s="40">
        <f>D234/C234*100</f>
        <v>2.7301990159054506</v>
      </c>
      <c r="J234" s="29">
        <v>20.6</v>
      </c>
      <c r="L234" s="51"/>
      <c r="M234" s="51"/>
      <c r="N234" s="51"/>
      <c r="O234" s="51"/>
      <c r="P234" s="51"/>
      <c r="Q234" s="51"/>
      <c r="R234" s="51"/>
      <c r="S234" s="51"/>
    </row>
    <row r="235" spans="1:19" ht="16.5" thickBot="1" x14ac:dyDescent="0.3">
      <c r="A235" s="41" t="s">
        <v>24</v>
      </c>
      <c r="B235" s="41">
        <v>286</v>
      </c>
      <c r="C235" s="42">
        <v>106018649.79000001</v>
      </c>
      <c r="D235" s="42">
        <v>2594665.9</v>
      </c>
      <c r="E235" s="43">
        <v>0</v>
      </c>
      <c r="F235" s="43">
        <v>173794.6</v>
      </c>
      <c r="G235" s="42">
        <v>219002.7</v>
      </c>
      <c r="H235" s="67">
        <v>2</v>
      </c>
      <c r="I235" s="44">
        <f>D235/C235*100</f>
        <v>2.4473674255798121</v>
      </c>
      <c r="J235" s="45">
        <v>22.4</v>
      </c>
    </row>
    <row r="236" spans="1:19" x14ac:dyDescent="0.25">
      <c r="A236" s="36" t="s">
        <v>25</v>
      </c>
      <c r="B236" s="46">
        <f>+B235</f>
        <v>286</v>
      </c>
      <c r="C236" s="47">
        <f>+C235</f>
        <v>106018649.79000001</v>
      </c>
      <c r="D236" s="47">
        <f t="shared" ref="D236:I236" si="22">SUM(D224:D235)</f>
        <v>23970379.287999999</v>
      </c>
      <c r="E236" s="47">
        <f t="shared" si="22"/>
        <v>316020.46700000006</v>
      </c>
      <c r="F236" s="48">
        <f t="shared" si="22"/>
        <v>874357.022</v>
      </c>
      <c r="G236" s="47">
        <f t="shared" si="22"/>
        <v>3221062.1650000005</v>
      </c>
      <c r="H236" s="47">
        <f t="shared" si="22"/>
        <v>33</v>
      </c>
      <c r="I236" s="49">
        <f t="shared" si="22"/>
        <v>22.403852125453881</v>
      </c>
      <c r="J236" s="50">
        <f>+J235</f>
        <v>22.4</v>
      </c>
    </row>
    <row r="237" spans="1:19" x14ac:dyDescent="0.25">
      <c r="I237" s="62"/>
      <c r="J237" s="68"/>
    </row>
    <row r="238" spans="1:19" x14ac:dyDescent="0.25">
      <c r="A238" s="55">
        <v>2008</v>
      </c>
      <c r="B238" s="17"/>
      <c r="C238" s="21"/>
      <c r="D238" s="21"/>
      <c r="E238" s="39"/>
      <c r="F238" s="24"/>
      <c r="G238" s="21"/>
      <c r="H238" s="21"/>
      <c r="I238" s="28"/>
      <c r="J238" s="64"/>
    </row>
    <row r="239" spans="1:19" x14ac:dyDescent="0.25">
      <c r="A239" s="20" t="s">
        <v>13</v>
      </c>
      <c r="B239" s="17">
        <v>277</v>
      </c>
      <c r="C239" s="21">
        <v>98653058.599999994</v>
      </c>
      <c r="D239" s="21">
        <v>2271997.7000000002</v>
      </c>
      <c r="E239" s="39">
        <v>43396.737999999998</v>
      </c>
      <c r="F239" s="6">
        <v>122170.5</v>
      </c>
      <c r="G239" s="21">
        <v>279906.09999999998</v>
      </c>
      <c r="H239" s="21">
        <v>1</v>
      </c>
      <c r="I239" s="28">
        <f t="shared" ref="I239:I250" si="23">D239/C239*100</f>
        <v>2.3030180029309304</v>
      </c>
      <c r="J239" s="65">
        <v>20.100000000000001</v>
      </c>
    </row>
    <row r="240" spans="1:19" x14ac:dyDescent="0.25">
      <c r="A240" s="20" t="s">
        <v>14</v>
      </c>
      <c r="B240" s="17">
        <v>277</v>
      </c>
      <c r="C240" s="21">
        <v>100457067.43000001</v>
      </c>
      <c r="D240" s="21">
        <v>1166946.6170000001</v>
      </c>
      <c r="E240" s="39">
        <v>5512.4</v>
      </c>
      <c r="F240" s="52">
        <v>0</v>
      </c>
      <c r="G240" s="21">
        <v>124688.24400000001</v>
      </c>
      <c r="H240" s="21">
        <v>0</v>
      </c>
      <c r="I240" s="28">
        <f t="shared" si="23"/>
        <v>1.1616371519237767</v>
      </c>
      <c r="J240" s="65">
        <v>20.2</v>
      </c>
    </row>
    <row r="241" spans="1:10" x14ac:dyDescent="0.25">
      <c r="A241" s="20" t="s">
        <v>15</v>
      </c>
      <c r="B241" s="17">
        <v>278</v>
      </c>
      <c r="C241" s="21">
        <v>101260496.59999999</v>
      </c>
      <c r="D241" s="21">
        <v>1248822</v>
      </c>
      <c r="E241" s="39">
        <v>2084.5</v>
      </c>
      <c r="F241" s="52">
        <v>152.1</v>
      </c>
      <c r="G241" s="21">
        <v>321089.3</v>
      </c>
      <c r="H241" s="21">
        <v>3</v>
      </c>
      <c r="I241" s="28">
        <f t="shared" si="23"/>
        <v>1.2332765905080503</v>
      </c>
      <c r="J241" s="65">
        <v>21.03</v>
      </c>
    </row>
    <row r="242" spans="1:10" x14ac:dyDescent="0.25">
      <c r="A242" s="20" t="s">
        <v>16</v>
      </c>
      <c r="B242" s="17">
        <v>311</v>
      </c>
      <c r="C242" s="21">
        <v>103723600.59999999</v>
      </c>
      <c r="D242" s="21">
        <v>1775611.192</v>
      </c>
      <c r="E242" s="39">
        <v>109.58</v>
      </c>
      <c r="F242" s="52">
        <v>330266.32</v>
      </c>
      <c r="G242" s="21">
        <v>754287.48</v>
      </c>
      <c r="H242" s="21">
        <v>1</v>
      </c>
      <c r="I242" s="28">
        <f t="shared" si="23"/>
        <v>1.7118680625516196</v>
      </c>
      <c r="J242" s="65">
        <v>23.81</v>
      </c>
    </row>
    <row r="243" spans="1:10" x14ac:dyDescent="0.25">
      <c r="A243" s="20" t="s">
        <v>17</v>
      </c>
      <c r="B243" s="17">
        <v>278</v>
      </c>
      <c r="C243" s="21">
        <v>105230484.25</v>
      </c>
      <c r="D243" s="21">
        <v>2207624.7400000002</v>
      </c>
      <c r="E243" s="39">
        <v>671.54</v>
      </c>
      <c r="F243" s="52">
        <v>7182.81</v>
      </c>
      <c r="G243" s="21">
        <v>2253696.71</v>
      </c>
      <c r="H243" s="21">
        <v>4</v>
      </c>
      <c r="I243" s="40">
        <f t="shared" si="23"/>
        <v>2.0978946887246699</v>
      </c>
      <c r="J243" s="65">
        <v>23.33</v>
      </c>
    </row>
    <row r="244" spans="1:10" x14ac:dyDescent="0.25">
      <c r="A244" s="20" t="s">
        <v>18</v>
      </c>
      <c r="B244" s="17">
        <v>276</v>
      </c>
      <c r="C244" s="21">
        <v>104227820.5</v>
      </c>
      <c r="D244" s="21">
        <v>1626523.07</v>
      </c>
      <c r="E244" s="39">
        <v>17211.13</v>
      </c>
      <c r="F244" s="52">
        <v>315626.28000000003</v>
      </c>
      <c r="G244" s="21">
        <v>134697.46</v>
      </c>
      <c r="H244" s="21">
        <v>1</v>
      </c>
      <c r="I244" s="40">
        <f t="shared" si="23"/>
        <v>1.5605459868557838</v>
      </c>
      <c r="J244" s="65">
        <v>22.84</v>
      </c>
    </row>
    <row r="245" spans="1:10" x14ac:dyDescent="0.25">
      <c r="A245" s="20" t="s">
        <v>19</v>
      </c>
      <c r="B245" s="17">
        <v>276</v>
      </c>
      <c r="C245" s="21">
        <v>103327826.84999999</v>
      </c>
      <c r="D245" s="21">
        <v>1395943.72</v>
      </c>
      <c r="E245" s="39">
        <v>0</v>
      </c>
      <c r="F245" s="52">
        <v>2935.16</v>
      </c>
      <c r="G245" s="21">
        <v>167365.44</v>
      </c>
      <c r="H245" s="21">
        <v>5</v>
      </c>
      <c r="I245" s="40">
        <f t="shared" si="23"/>
        <v>1.3509852694632569</v>
      </c>
      <c r="J245" s="65">
        <v>22.53</v>
      </c>
    </row>
    <row r="246" spans="1:10" x14ac:dyDescent="0.25">
      <c r="A246" s="20" t="s">
        <v>20</v>
      </c>
      <c r="B246" s="17">
        <v>282</v>
      </c>
      <c r="C246" s="21">
        <v>99697368.900000006</v>
      </c>
      <c r="D246" s="21">
        <v>1022965.71</v>
      </c>
      <c r="E246" s="39">
        <v>0</v>
      </c>
      <c r="F246" s="52">
        <v>1497.74</v>
      </c>
      <c r="G246" s="21">
        <v>91382.54</v>
      </c>
      <c r="H246" s="21">
        <v>3</v>
      </c>
      <c r="I246" s="40">
        <f t="shared" si="23"/>
        <v>1.0260709197111018</v>
      </c>
      <c r="J246" s="65">
        <v>19.09</v>
      </c>
    </row>
    <row r="247" spans="1:10" x14ac:dyDescent="0.25">
      <c r="A247" s="20" t="s">
        <v>21</v>
      </c>
      <c r="B247" s="17">
        <v>278</v>
      </c>
      <c r="C247" s="21">
        <v>95239100.849999994</v>
      </c>
      <c r="D247" s="21">
        <v>1215173.94</v>
      </c>
      <c r="E247" s="39">
        <v>0</v>
      </c>
      <c r="F247" s="52">
        <v>40998.879999999997</v>
      </c>
      <c r="G247" s="21">
        <v>147842.47</v>
      </c>
      <c r="H247" s="21">
        <v>4</v>
      </c>
      <c r="I247" s="40">
        <f t="shared" si="23"/>
        <v>1.2759191646652341</v>
      </c>
      <c r="J247" s="65">
        <v>17.489999999999998</v>
      </c>
    </row>
    <row r="248" spans="1:10" x14ac:dyDescent="0.25">
      <c r="A248" s="20" t="s">
        <v>22</v>
      </c>
      <c r="B248" s="17">
        <v>276</v>
      </c>
      <c r="C248" s="21">
        <v>87815835.329999998</v>
      </c>
      <c r="D248" s="21">
        <v>1567231.92</v>
      </c>
      <c r="E248" s="39">
        <v>3987.46</v>
      </c>
      <c r="F248" s="52">
        <v>81002.259999999995</v>
      </c>
      <c r="G248" s="21">
        <v>164978.20000000001</v>
      </c>
      <c r="H248" s="21">
        <v>4</v>
      </c>
      <c r="I248" s="40">
        <f t="shared" si="23"/>
        <v>1.7846803074987045</v>
      </c>
      <c r="J248" s="65">
        <v>14.18</v>
      </c>
    </row>
    <row r="249" spans="1:10" x14ac:dyDescent="0.25">
      <c r="A249" s="20" t="s">
        <v>23</v>
      </c>
      <c r="B249" s="17">
        <v>280</v>
      </c>
      <c r="C249" s="21">
        <v>85514827.159999996</v>
      </c>
      <c r="D249" s="21">
        <v>2094690.7</v>
      </c>
      <c r="E249" s="39">
        <v>0</v>
      </c>
      <c r="F249" s="52">
        <v>9920.84</v>
      </c>
      <c r="G249" s="21">
        <v>244338.20800000001</v>
      </c>
      <c r="H249" s="21">
        <v>5</v>
      </c>
      <c r="I249" s="40">
        <f t="shared" si="23"/>
        <v>2.4495058571314079</v>
      </c>
      <c r="J249" s="65">
        <v>13.21</v>
      </c>
    </row>
    <row r="250" spans="1:10" ht="16.5" thickBot="1" x14ac:dyDescent="0.3">
      <c r="A250" s="41" t="s">
        <v>24</v>
      </c>
      <c r="B250" s="41">
        <v>285</v>
      </c>
      <c r="C250" s="42">
        <v>84390049.079999998</v>
      </c>
      <c r="D250" s="42">
        <v>1645049.9</v>
      </c>
      <c r="E250" s="43">
        <v>1810.96</v>
      </c>
      <c r="F250" s="43">
        <v>103266.702</v>
      </c>
      <c r="G250" s="42">
        <v>344777.42</v>
      </c>
      <c r="H250" s="42">
        <v>2</v>
      </c>
      <c r="I250" s="44">
        <f t="shared" si="23"/>
        <v>1.9493410869337535</v>
      </c>
      <c r="J250" s="45">
        <v>13.2</v>
      </c>
    </row>
    <row r="251" spans="1:10" x14ac:dyDescent="0.25">
      <c r="A251" s="36" t="s">
        <v>25</v>
      </c>
      <c r="B251" s="46">
        <f>+B250</f>
        <v>285</v>
      </c>
      <c r="C251" s="47">
        <f>+C250</f>
        <v>84390049.079999998</v>
      </c>
      <c r="D251" s="47">
        <f t="shared" ref="D251:I251" si="24">SUM(D239:D250)</f>
        <v>19238581.208999999</v>
      </c>
      <c r="E251" s="47">
        <f t="shared" si="24"/>
        <v>74784.308000000019</v>
      </c>
      <c r="F251" s="48">
        <f t="shared" si="24"/>
        <v>1015019.5920000001</v>
      </c>
      <c r="G251" s="47">
        <f t="shared" si="24"/>
        <v>5029049.5719999997</v>
      </c>
      <c r="H251" s="47">
        <f t="shared" si="24"/>
        <v>33</v>
      </c>
      <c r="I251" s="49">
        <f t="shared" si="24"/>
        <v>19.904743088898289</v>
      </c>
      <c r="J251" s="50">
        <f>+J250</f>
        <v>13.2</v>
      </c>
    </row>
    <row r="253" spans="1:10" x14ac:dyDescent="0.25">
      <c r="A253" s="55">
        <v>2009</v>
      </c>
      <c r="B253" s="17"/>
      <c r="C253" s="21"/>
      <c r="D253" s="21"/>
      <c r="E253" s="39"/>
      <c r="F253" s="24"/>
      <c r="G253" s="21"/>
      <c r="H253" s="21"/>
      <c r="I253" s="28"/>
      <c r="J253" s="64"/>
    </row>
    <row r="254" spans="1:10" x14ac:dyDescent="0.25">
      <c r="A254" s="20" t="s">
        <v>13</v>
      </c>
      <c r="B254" s="17">
        <v>280</v>
      </c>
      <c r="C254" s="21">
        <v>89204747.420000002</v>
      </c>
      <c r="D254" s="21">
        <v>3310695.6</v>
      </c>
      <c r="E254" s="39">
        <v>14558.688</v>
      </c>
      <c r="F254" s="6">
        <v>77864.074999999997</v>
      </c>
      <c r="G254" s="21">
        <v>314365.27</v>
      </c>
      <c r="H254" s="21">
        <v>4</v>
      </c>
      <c r="I254" s="28">
        <f t="shared" ref="I254:I260" si="25">D254/C254*100</f>
        <v>3.7113446265503702</v>
      </c>
      <c r="J254" s="65">
        <v>15.03</v>
      </c>
    </row>
    <row r="255" spans="1:10" x14ac:dyDescent="0.25">
      <c r="A255" s="20" t="s">
        <v>14</v>
      </c>
      <c r="B255" s="17">
        <v>279</v>
      </c>
      <c r="C255" s="21">
        <v>87330436.430000007</v>
      </c>
      <c r="D255" s="21">
        <v>933618.47</v>
      </c>
      <c r="E255" s="39">
        <v>0</v>
      </c>
      <c r="F255" s="52">
        <v>36103.557000000001</v>
      </c>
      <c r="G255" s="21">
        <v>68130.263999999996</v>
      </c>
      <c r="H255" s="21">
        <v>3</v>
      </c>
      <c r="I255" s="28">
        <f t="shared" si="25"/>
        <v>1.069064243997389</v>
      </c>
      <c r="J255" s="65">
        <v>14.01</v>
      </c>
    </row>
    <row r="256" spans="1:10" x14ac:dyDescent="0.25">
      <c r="A256" s="20" t="s">
        <v>15</v>
      </c>
      <c r="B256" s="17">
        <v>285</v>
      </c>
      <c r="C256" s="21">
        <v>87424525.489999995</v>
      </c>
      <c r="D256" s="21">
        <v>879016.18799999997</v>
      </c>
      <c r="E256" s="39">
        <v>0</v>
      </c>
      <c r="F256" s="52">
        <v>11096.623</v>
      </c>
      <c r="G256" s="21">
        <v>293710.11599999998</v>
      </c>
      <c r="H256" s="21">
        <v>3</v>
      </c>
      <c r="I256" s="28">
        <f t="shared" si="25"/>
        <v>1.0054572021675379</v>
      </c>
      <c r="J256" s="65">
        <v>14.91</v>
      </c>
    </row>
    <row r="257" spans="1:10" x14ac:dyDescent="0.25">
      <c r="A257" s="20" t="s">
        <v>16</v>
      </c>
      <c r="B257" s="17">
        <v>298</v>
      </c>
      <c r="C257" s="21">
        <v>92829270.159999996</v>
      </c>
      <c r="D257" s="21">
        <v>1766331</v>
      </c>
      <c r="E257" s="39">
        <v>0</v>
      </c>
      <c r="F257" s="52">
        <v>20386.812999999998</v>
      </c>
      <c r="G257" s="21">
        <v>522723.49099999998</v>
      </c>
      <c r="H257" s="21">
        <v>2</v>
      </c>
      <c r="I257" s="28">
        <f t="shared" si="25"/>
        <v>1.9027737662437312</v>
      </c>
      <c r="J257" s="65">
        <v>14.8</v>
      </c>
    </row>
    <row r="258" spans="1:10" x14ac:dyDescent="0.25">
      <c r="A258" s="20" t="s">
        <v>17</v>
      </c>
      <c r="B258" s="17">
        <v>285</v>
      </c>
      <c r="C258" s="21">
        <v>103817225.7</v>
      </c>
      <c r="D258" s="21">
        <v>2107337.2799999998</v>
      </c>
      <c r="E258" s="39">
        <v>0</v>
      </c>
      <c r="F258" s="52">
        <v>49251.248</v>
      </c>
      <c r="G258" s="21">
        <v>2420628.202</v>
      </c>
      <c r="H258" s="21">
        <v>1</v>
      </c>
      <c r="I258" s="40">
        <f t="shared" si="25"/>
        <v>2.0298532019046234</v>
      </c>
      <c r="J258" s="65">
        <v>18.39</v>
      </c>
    </row>
    <row r="259" spans="1:10" x14ac:dyDescent="0.25">
      <c r="A259" s="20" t="s">
        <v>18</v>
      </c>
      <c r="B259" s="17">
        <v>279</v>
      </c>
      <c r="C259" s="21">
        <v>103732118.5</v>
      </c>
      <c r="D259" s="21">
        <v>1952176.1</v>
      </c>
      <c r="E259" s="39">
        <v>16012.3</v>
      </c>
      <c r="F259" s="52">
        <v>226865</v>
      </c>
      <c r="G259" s="21">
        <v>159788.5</v>
      </c>
      <c r="H259" s="21">
        <v>1</v>
      </c>
      <c r="I259" s="40">
        <f t="shared" si="25"/>
        <v>1.8819398738106365</v>
      </c>
      <c r="J259" s="65">
        <v>18.7</v>
      </c>
    </row>
    <row r="260" spans="1:10" x14ac:dyDescent="0.25">
      <c r="A260" s="20" t="s">
        <v>19</v>
      </c>
      <c r="B260" s="17">
        <v>279</v>
      </c>
      <c r="C260" s="21">
        <v>107860199</v>
      </c>
      <c r="D260" s="21">
        <v>1534024.9</v>
      </c>
      <c r="E260" s="39">
        <v>0</v>
      </c>
      <c r="F260" s="52">
        <v>40118.1</v>
      </c>
      <c r="G260" s="21">
        <v>84214.3</v>
      </c>
      <c r="H260" s="21">
        <v>1</v>
      </c>
      <c r="I260" s="40">
        <f t="shared" si="25"/>
        <v>1.4222344425676425</v>
      </c>
      <c r="J260" s="65">
        <v>19.5</v>
      </c>
    </row>
    <row r="261" spans="1:10" x14ac:dyDescent="0.25">
      <c r="A261" s="20" t="s">
        <v>20</v>
      </c>
      <c r="B261" s="17">
        <v>281</v>
      </c>
      <c r="C261" s="21">
        <v>106820096.5</v>
      </c>
      <c r="D261" s="21">
        <v>1533448.8</v>
      </c>
      <c r="E261" s="39">
        <v>0</v>
      </c>
      <c r="F261" s="52">
        <v>23830</v>
      </c>
      <c r="G261" s="21">
        <v>99163.8</v>
      </c>
      <c r="H261" s="21">
        <v>3</v>
      </c>
      <c r="I261" s="40">
        <f>D261/C261*100</f>
        <v>1.4355433577051675</v>
      </c>
      <c r="J261" s="65">
        <v>18.2</v>
      </c>
    </row>
    <row r="262" spans="1:10" x14ac:dyDescent="0.25">
      <c r="A262" s="20" t="s">
        <v>21</v>
      </c>
      <c r="B262" s="17">
        <v>278</v>
      </c>
      <c r="C262" s="21">
        <v>111801460.7</v>
      </c>
      <c r="D262" s="21">
        <v>1742388</v>
      </c>
      <c r="E262" s="39">
        <v>0</v>
      </c>
      <c r="F262" s="52">
        <v>29236.2</v>
      </c>
      <c r="G262" s="21">
        <v>114160.6</v>
      </c>
      <c r="H262" s="21">
        <v>2</v>
      </c>
      <c r="I262" s="40">
        <f>D262/C262*100</f>
        <v>1.5584662213630631</v>
      </c>
      <c r="J262" s="65">
        <v>19.5</v>
      </c>
    </row>
    <row r="263" spans="1:10" x14ac:dyDescent="0.25">
      <c r="A263" s="20" t="s">
        <v>22</v>
      </c>
      <c r="B263" s="17">
        <v>278</v>
      </c>
      <c r="C263" s="21">
        <v>110428797.45999999</v>
      </c>
      <c r="D263" s="21">
        <v>1748189.7</v>
      </c>
      <c r="E263" s="39">
        <v>0</v>
      </c>
      <c r="F263" s="52">
        <v>84886.9</v>
      </c>
      <c r="G263" s="21">
        <v>157923.9</v>
      </c>
      <c r="H263" s="21">
        <v>8</v>
      </c>
      <c r="I263" s="40">
        <f>D263/C263*100</f>
        <v>1.5830922188872307</v>
      </c>
      <c r="J263" s="65">
        <v>18.64</v>
      </c>
    </row>
    <row r="264" spans="1:10" x14ac:dyDescent="0.25">
      <c r="A264" s="20" t="s">
        <v>23</v>
      </c>
      <c r="B264" s="17">
        <v>285</v>
      </c>
      <c r="C264" s="21">
        <v>108696840.68000001</v>
      </c>
      <c r="D264" s="21">
        <v>1515079.9</v>
      </c>
      <c r="E264" s="39">
        <v>0</v>
      </c>
      <c r="F264" s="52">
        <v>173189.6</v>
      </c>
      <c r="G264" s="21">
        <v>149518.1</v>
      </c>
      <c r="H264" s="21">
        <v>3</v>
      </c>
      <c r="I264" s="40">
        <f>D264/C264*100</f>
        <v>1.3938582671968787</v>
      </c>
      <c r="J264" s="65">
        <v>18.03</v>
      </c>
    </row>
    <row r="265" spans="1:10" ht="16.5" thickBot="1" x14ac:dyDescent="0.3">
      <c r="A265" s="41" t="s">
        <v>24</v>
      </c>
      <c r="B265" s="41">
        <v>285</v>
      </c>
      <c r="C265" s="42">
        <v>117057426.5</v>
      </c>
      <c r="D265" s="42">
        <v>2060392.4</v>
      </c>
      <c r="E265" s="43">
        <v>0</v>
      </c>
      <c r="F265" s="43">
        <v>541295.80000000005</v>
      </c>
      <c r="G265" s="42">
        <v>418552.2</v>
      </c>
      <c r="H265" s="42">
        <v>0</v>
      </c>
      <c r="I265" s="44">
        <f>D265/C265*100</f>
        <v>1.7601552174906221</v>
      </c>
      <c r="J265" s="45">
        <v>20.02</v>
      </c>
    </row>
    <row r="266" spans="1:10" x14ac:dyDescent="0.25">
      <c r="A266" s="36" t="s">
        <v>25</v>
      </c>
      <c r="B266" s="46">
        <f>+B265</f>
        <v>285</v>
      </c>
      <c r="C266" s="47">
        <f>+C265</f>
        <v>117057426.5</v>
      </c>
      <c r="D266" s="47">
        <f t="shared" ref="D266:I266" si="26">SUM(D254:D265)</f>
        <v>21082698.338</v>
      </c>
      <c r="E266" s="47">
        <f t="shared" si="26"/>
        <v>30570.987999999998</v>
      </c>
      <c r="F266" s="48">
        <f t="shared" si="26"/>
        <v>1314123.916</v>
      </c>
      <c r="G266" s="47">
        <f t="shared" si="26"/>
        <v>4802878.7429999998</v>
      </c>
      <c r="H266" s="47">
        <f>SUM(H254:H265)</f>
        <v>31</v>
      </c>
      <c r="I266" s="49">
        <f t="shared" si="26"/>
        <v>20.753782639884896</v>
      </c>
      <c r="J266" s="50">
        <f>+J265</f>
        <v>20.02</v>
      </c>
    </row>
    <row r="267" spans="1:10" x14ac:dyDescent="0.25">
      <c r="A267" s="46"/>
      <c r="B267" s="46"/>
      <c r="C267" s="47"/>
      <c r="D267" s="47"/>
      <c r="E267" s="47"/>
      <c r="F267" s="48"/>
      <c r="G267" s="47"/>
      <c r="H267" s="47"/>
      <c r="I267" s="49"/>
      <c r="J267" s="64"/>
    </row>
    <row r="268" spans="1:10" x14ac:dyDescent="0.25">
      <c r="A268" s="55">
        <v>2010</v>
      </c>
      <c r="B268" s="17"/>
      <c r="C268" s="21"/>
      <c r="D268" s="21"/>
      <c r="E268" s="39"/>
      <c r="F268" s="24"/>
      <c r="G268" s="21"/>
      <c r="H268" s="21"/>
      <c r="I268" s="28"/>
      <c r="J268" s="64"/>
    </row>
    <row r="269" spans="1:10" x14ac:dyDescent="0.25">
      <c r="A269" s="20" t="s">
        <v>13</v>
      </c>
      <c r="B269" s="17">
        <v>596</v>
      </c>
      <c r="C269" s="21">
        <v>123064187.12</v>
      </c>
      <c r="D269" s="21">
        <v>2319258.6</v>
      </c>
      <c r="E269" s="39">
        <v>0</v>
      </c>
      <c r="F269" s="6">
        <v>28352.027999999998</v>
      </c>
      <c r="G269" s="21">
        <v>208330.2</v>
      </c>
      <c r="H269" s="21">
        <v>0</v>
      </c>
      <c r="I269" s="28">
        <f t="shared" ref="I269:I280" si="27">D269/C269*100</f>
        <v>1.8845926294856918</v>
      </c>
      <c r="J269" s="65">
        <v>20.9</v>
      </c>
    </row>
    <row r="270" spans="1:10" x14ac:dyDescent="0.25">
      <c r="A270" s="20" t="s">
        <v>14</v>
      </c>
      <c r="B270" s="17">
        <v>594</v>
      </c>
      <c r="C270" s="21">
        <v>124401783</v>
      </c>
      <c r="D270" s="21">
        <v>1394076.6</v>
      </c>
      <c r="E270" s="39">
        <v>0</v>
      </c>
      <c r="F270" s="52">
        <v>1062.6400000000001</v>
      </c>
      <c r="G270" s="21">
        <v>91529.244000000006</v>
      </c>
      <c r="H270" s="21">
        <v>4</v>
      </c>
      <c r="I270" s="28">
        <f t="shared" si="27"/>
        <v>1.1206242920167793</v>
      </c>
      <c r="J270" s="65">
        <v>21.6</v>
      </c>
    </row>
    <row r="271" spans="1:10" x14ac:dyDescent="0.25">
      <c r="A271" s="20" t="s">
        <v>15</v>
      </c>
      <c r="B271" s="17">
        <v>569</v>
      </c>
      <c r="C271" s="21">
        <v>124762283.64</v>
      </c>
      <c r="D271" s="21">
        <v>2150500.6</v>
      </c>
      <c r="E271" s="21">
        <v>0</v>
      </c>
      <c r="F271" s="24">
        <v>240540.7</v>
      </c>
      <c r="G271" s="21">
        <v>442200.2</v>
      </c>
      <c r="H271" s="21">
        <v>3</v>
      </c>
      <c r="I271" s="28">
        <f t="shared" si="27"/>
        <v>1.7236784525403868</v>
      </c>
      <c r="J271" s="29">
        <v>20.420000000000002</v>
      </c>
    </row>
    <row r="272" spans="1:10" x14ac:dyDescent="0.25">
      <c r="A272" s="20" t="s">
        <v>16</v>
      </c>
      <c r="B272" s="17">
        <v>304</v>
      </c>
      <c r="C272" s="39">
        <v>127098596.88</v>
      </c>
      <c r="D272" s="21">
        <v>2024431.93</v>
      </c>
      <c r="E272" s="21">
        <v>0</v>
      </c>
      <c r="F272" s="21">
        <v>687454.79</v>
      </c>
      <c r="G272" s="21">
        <v>806406.75</v>
      </c>
      <c r="H272" s="21">
        <v>1</v>
      </c>
      <c r="I272" s="28">
        <f t="shared" si="27"/>
        <v>1.5928043107441738</v>
      </c>
      <c r="J272" s="29">
        <v>20.399999999999999</v>
      </c>
    </row>
    <row r="273" spans="1:10" x14ac:dyDescent="0.25">
      <c r="A273" s="20" t="s">
        <v>17</v>
      </c>
      <c r="B273" s="17">
        <v>301</v>
      </c>
      <c r="C273" s="21">
        <v>126806445.8</v>
      </c>
      <c r="D273" s="21">
        <v>2403800.5589999999</v>
      </c>
      <c r="E273" s="21">
        <v>0</v>
      </c>
      <c r="F273" s="24">
        <v>95314.7</v>
      </c>
      <c r="G273" s="21">
        <v>2003225.4380000001</v>
      </c>
      <c r="H273" s="21">
        <v>0</v>
      </c>
      <c r="I273" s="22">
        <f t="shared" si="27"/>
        <v>1.8956454018049609</v>
      </c>
      <c r="J273" s="29">
        <v>19.53</v>
      </c>
    </row>
    <row r="274" spans="1:10" x14ac:dyDescent="0.25">
      <c r="A274" s="20" t="s">
        <v>18</v>
      </c>
      <c r="B274" s="17">
        <v>322</v>
      </c>
      <c r="C274" s="21">
        <v>131320429.8</v>
      </c>
      <c r="D274" s="21">
        <v>1707380.686</v>
      </c>
      <c r="E274" s="21">
        <v>0</v>
      </c>
      <c r="F274" s="24">
        <v>9475.9959999999992</v>
      </c>
      <c r="G274" s="21">
        <v>222883.15400000001</v>
      </c>
      <c r="H274" s="21">
        <v>0</v>
      </c>
      <c r="I274" s="22">
        <f t="shared" si="27"/>
        <v>1.3001637967529711</v>
      </c>
      <c r="J274" s="29">
        <v>20.6</v>
      </c>
    </row>
    <row r="275" spans="1:10" x14ac:dyDescent="0.25">
      <c r="A275" s="20" t="s">
        <v>19</v>
      </c>
      <c r="B275" s="17">
        <v>320</v>
      </c>
      <c r="C275" s="21">
        <v>140921630.81</v>
      </c>
      <c r="D275" s="21">
        <v>2062729.7</v>
      </c>
      <c r="E275" s="21">
        <v>0</v>
      </c>
      <c r="F275" s="24">
        <v>2875.8</v>
      </c>
      <c r="G275" s="21">
        <v>201025.8</v>
      </c>
      <c r="H275" s="21">
        <v>1</v>
      </c>
      <c r="I275" s="22">
        <f t="shared" si="27"/>
        <v>1.4637424277193545</v>
      </c>
      <c r="J275" s="29">
        <v>22</v>
      </c>
    </row>
    <row r="276" spans="1:10" x14ac:dyDescent="0.25">
      <c r="A276" s="20" t="s">
        <v>20</v>
      </c>
      <c r="B276" s="17">
        <v>279</v>
      </c>
      <c r="C276" s="21">
        <v>146193925.69999999</v>
      </c>
      <c r="D276" s="21">
        <v>2529578.1</v>
      </c>
      <c r="E276" s="21">
        <v>0</v>
      </c>
      <c r="F276" s="24">
        <v>12930.7</v>
      </c>
      <c r="G276" s="21">
        <v>93971.199999999997</v>
      </c>
      <c r="H276" s="21">
        <v>0</v>
      </c>
      <c r="I276" s="22">
        <f t="shared" si="27"/>
        <v>1.7302894685179113</v>
      </c>
      <c r="J276" s="29">
        <v>23.56</v>
      </c>
    </row>
    <row r="277" spans="1:10" x14ac:dyDescent="0.25">
      <c r="A277" s="20" t="s">
        <v>21</v>
      </c>
      <c r="B277" s="17">
        <v>323</v>
      </c>
      <c r="C277" s="21">
        <v>154742932.72</v>
      </c>
      <c r="D277" s="21">
        <v>2334506.9</v>
      </c>
      <c r="E277" s="21">
        <v>0</v>
      </c>
      <c r="F277" s="24">
        <v>30564.5</v>
      </c>
      <c r="G277" s="21">
        <v>64300.6</v>
      </c>
      <c r="H277" s="21">
        <v>3</v>
      </c>
      <c r="I277" s="22">
        <f t="shared" si="27"/>
        <v>1.5086355537956486</v>
      </c>
      <c r="J277" s="29">
        <v>23.79</v>
      </c>
    </row>
    <row r="278" spans="1:10" x14ac:dyDescent="0.25">
      <c r="A278" s="20" t="s">
        <v>22</v>
      </c>
      <c r="B278" s="17">
        <v>321</v>
      </c>
      <c r="C278" s="21">
        <v>158370265.80000001</v>
      </c>
      <c r="D278" s="21">
        <v>2804372.5320000001</v>
      </c>
      <c r="E278" s="21">
        <v>0</v>
      </c>
      <c r="F278" s="24">
        <v>4897.3590000000004</v>
      </c>
      <c r="G278" s="21">
        <v>178065.239</v>
      </c>
      <c r="H278" s="21">
        <v>3</v>
      </c>
      <c r="I278" s="22">
        <f t="shared" si="27"/>
        <v>1.7707696061718676</v>
      </c>
      <c r="J278" s="29">
        <v>24.39</v>
      </c>
    </row>
    <row r="279" spans="1:10" x14ac:dyDescent="0.25">
      <c r="A279" s="20" t="s">
        <v>23</v>
      </c>
      <c r="B279" s="17">
        <v>322</v>
      </c>
      <c r="C279" s="21">
        <v>158983531.40000001</v>
      </c>
      <c r="D279" s="21">
        <v>2319209.0410000002</v>
      </c>
      <c r="E279" s="21">
        <v>0</v>
      </c>
      <c r="F279" s="24">
        <v>270961.40399999998</v>
      </c>
      <c r="G279" s="21">
        <v>122459.758</v>
      </c>
      <c r="H279" s="21">
        <v>5</v>
      </c>
      <c r="I279" s="22">
        <f>D279/C279*100</f>
        <v>1.4587731323975359</v>
      </c>
      <c r="J279" s="29">
        <v>22.61</v>
      </c>
    </row>
    <row r="280" spans="1:10" ht="16.5" thickBot="1" x14ac:dyDescent="0.3">
      <c r="A280" s="41" t="s">
        <v>24</v>
      </c>
      <c r="B280" s="41">
        <v>325</v>
      </c>
      <c r="C280" s="42">
        <v>159844376.63</v>
      </c>
      <c r="D280" s="42">
        <v>4066145.0610000002</v>
      </c>
      <c r="E280" s="43">
        <v>0</v>
      </c>
      <c r="F280" s="43">
        <v>242786.65299999999</v>
      </c>
      <c r="G280" s="42">
        <v>299455.15600000002</v>
      </c>
      <c r="H280" s="42">
        <v>1</v>
      </c>
      <c r="I280" s="44">
        <f t="shared" si="27"/>
        <v>2.5438148946660259</v>
      </c>
      <c r="J280" s="45">
        <v>22.26</v>
      </c>
    </row>
    <row r="281" spans="1:10" x14ac:dyDescent="0.25">
      <c r="A281" s="36" t="s">
        <v>25</v>
      </c>
      <c r="B281" s="46">
        <f>+B280</f>
        <v>325</v>
      </c>
      <c r="C281" s="47">
        <f>+C280</f>
        <v>159844376.63</v>
      </c>
      <c r="D281" s="47">
        <f t="shared" ref="D281:I281" si="28">SUM(D269:D280)</f>
        <v>28115990.309000004</v>
      </c>
      <c r="E281" s="47">
        <f>SUM(E269:E280)</f>
        <v>0</v>
      </c>
      <c r="F281" s="48">
        <f>SUM(F269:F280)</f>
        <v>1627217.27</v>
      </c>
      <c r="G281" s="47">
        <f t="shared" si="28"/>
        <v>4733852.739000001</v>
      </c>
      <c r="H281" s="47">
        <f>SUM(H269:H280)</f>
        <v>21</v>
      </c>
      <c r="I281" s="69">
        <f t="shared" si="28"/>
        <v>19.993533966613306</v>
      </c>
      <c r="J281" s="50">
        <f>+J280</f>
        <v>22.26</v>
      </c>
    </row>
    <row r="282" spans="1:10" x14ac:dyDescent="0.25">
      <c r="A282" s="46"/>
      <c r="B282" s="46"/>
      <c r="C282" s="47"/>
      <c r="D282" s="47"/>
      <c r="E282" s="47"/>
      <c r="F282" s="48"/>
      <c r="G282" s="47"/>
      <c r="H282" s="47"/>
      <c r="I282" s="49"/>
      <c r="J282" s="64"/>
    </row>
    <row r="283" spans="1:10" x14ac:dyDescent="0.25">
      <c r="A283" s="55">
        <v>2011</v>
      </c>
      <c r="B283" s="46"/>
      <c r="C283" s="47"/>
      <c r="D283" s="47"/>
      <c r="E283" s="47"/>
      <c r="F283" s="48"/>
      <c r="G283" s="47"/>
      <c r="H283" s="47"/>
      <c r="I283" s="49"/>
      <c r="J283" s="64"/>
    </row>
    <row r="284" spans="1:10" x14ac:dyDescent="0.25">
      <c r="A284" s="20" t="s">
        <v>13</v>
      </c>
      <c r="B284" s="17">
        <v>322</v>
      </c>
      <c r="C284" s="21">
        <v>154586890.50999999</v>
      </c>
      <c r="D284" s="21">
        <v>3220977.3629999999</v>
      </c>
      <c r="E284" s="21">
        <v>0</v>
      </c>
      <c r="F284" s="24">
        <v>4622.8990000000003</v>
      </c>
      <c r="G284" s="21">
        <v>358403.18199999997</v>
      </c>
      <c r="H284" s="21">
        <v>0</v>
      </c>
      <c r="I284" s="28">
        <f t="shared" ref="I284:I289" si="29">D284/C284*100</f>
        <v>2.083603177716832</v>
      </c>
      <c r="J284" s="65">
        <v>24.65</v>
      </c>
    </row>
    <row r="285" spans="1:10" x14ac:dyDescent="0.25">
      <c r="A285" s="20" t="s">
        <v>14</v>
      </c>
      <c r="B285" s="17">
        <v>321</v>
      </c>
      <c r="C285" s="21">
        <v>148150025.81</v>
      </c>
      <c r="D285" s="21">
        <v>1928005.2450000001</v>
      </c>
      <c r="E285" s="21">
        <v>0</v>
      </c>
      <c r="F285" s="24">
        <v>503.97500000000002</v>
      </c>
      <c r="G285" s="21">
        <v>127811.64</v>
      </c>
      <c r="H285" s="21">
        <v>1</v>
      </c>
      <c r="I285" s="28">
        <f t="shared" si="29"/>
        <v>1.3013870463125234</v>
      </c>
      <c r="J285" s="65">
        <v>23.17</v>
      </c>
    </row>
    <row r="286" spans="1:10" x14ac:dyDescent="0.25">
      <c r="A286" s="20" t="s">
        <v>15</v>
      </c>
      <c r="B286" s="17">
        <v>330</v>
      </c>
      <c r="C286" s="21">
        <v>157734882.08000001</v>
      </c>
      <c r="D286" s="21">
        <v>2429046.0789999999</v>
      </c>
      <c r="E286" s="21">
        <v>0</v>
      </c>
      <c r="F286" s="24">
        <v>205273.93900000001</v>
      </c>
      <c r="G286" s="21">
        <v>405237.42700000003</v>
      </c>
      <c r="H286" s="21">
        <v>5</v>
      </c>
      <c r="I286" s="28">
        <f t="shared" si="29"/>
        <v>1.5399549211746555</v>
      </c>
      <c r="J286" s="65">
        <v>21.74</v>
      </c>
    </row>
    <row r="287" spans="1:10" x14ac:dyDescent="0.25">
      <c r="A287" s="20" t="s">
        <v>16</v>
      </c>
      <c r="B287" s="17">
        <v>338</v>
      </c>
      <c r="C287" s="21">
        <v>157627213.99000001</v>
      </c>
      <c r="D287" s="21">
        <v>1685442.6410000001</v>
      </c>
      <c r="E287" s="21">
        <v>0</v>
      </c>
      <c r="F287" s="24">
        <v>4170.1059999999998</v>
      </c>
      <c r="G287" s="21">
        <v>642023.46400000004</v>
      </c>
      <c r="H287" s="21">
        <v>5</v>
      </c>
      <c r="I287" s="28">
        <f t="shared" si="29"/>
        <v>1.069258663105551</v>
      </c>
      <c r="J287" s="65">
        <v>22.33</v>
      </c>
    </row>
    <row r="288" spans="1:10" x14ac:dyDescent="0.25">
      <c r="A288" s="20" t="s">
        <v>17</v>
      </c>
      <c r="B288" s="17">
        <v>367</v>
      </c>
      <c r="C288" s="21">
        <v>157505978.06999999</v>
      </c>
      <c r="D288" s="21">
        <v>2649894.7390000001</v>
      </c>
      <c r="E288" s="21">
        <v>0</v>
      </c>
      <c r="F288" s="24">
        <v>190726.69500000001</v>
      </c>
      <c r="G288" s="21">
        <v>2245606.6869999999</v>
      </c>
      <c r="H288" s="21">
        <v>5</v>
      </c>
      <c r="I288" s="28">
        <f t="shared" si="29"/>
        <v>1.6824089926430055</v>
      </c>
      <c r="J288" s="65">
        <v>22.15</v>
      </c>
    </row>
    <row r="289" spans="1:10" x14ac:dyDescent="0.25">
      <c r="A289" s="20" t="s">
        <v>18</v>
      </c>
      <c r="B289" s="17">
        <v>383</v>
      </c>
      <c r="C289" s="21">
        <v>156930374.41999999</v>
      </c>
      <c r="D289" s="21">
        <v>3042939.6349999998</v>
      </c>
      <c r="E289" s="21">
        <v>0</v>
      </c>
      <c r="F289" s="24">
        <v>448922.59899999999</v>
      </c>
      <c r="G289" s="21">
        <v>69421.926000000007</v>
      </c>
      <c r="H289" s="21">
        <v>3</v>
      </c>
      <c r="I289" s="28">
        <f t="shared" si="29"/>
        <v>1.9390380264154856</v>
      </c>
      <c r="J289" s="65">
        <v>20.72</v>
      </c>
    </row>
    <row r="290" spans="1:10" x14ac:dyDescent="0.25">
      <c r="A290" s="20" t="s">
        <v>19</v>
      </c>
      <c r="B290" s="17">
        <v>386</v>
      </c>
      <c r="C290" s="21">
        <v>147258946.72</v>
      </c>
      <c r="D290" s="21">
        <v>1830276.449</v>
      </c>
      <c r="E290" s="21">
        <v>0</v>
      </c>
      <c r="F290" s="24">
        <v>162155881.79100001</v>
      </c>
      <c r="G290" s="21">
        <v>98622.698999999993</v>
      </c>
      <c r="H290" s="21">
        <v>3</v>
      </c>
      <c r="I290" s="22">
        <f t="shared" ref="I290:I295" si="30">D290/C290*100</f>
        <v>1.2428966047680012</v>
      </c>
      <c r="J290" s="65">
        <v>19.11</v>
      </c>
    </row>
    <row r="291" spans="1:10" x14ac:dyDescent="0.25">
      <c r="A291" s="20" t="s">
        <v>20</v>
      </c>
      <c r="B291" s="17">
        <v>390</v>
      </c>
      <c r="C291" s="21">
        <v>143399364.65000001</v>
      </c>
      <c r="D291" s="21">
        <v>2059582.9269999999</v>
      </c>
      <c r="E291" s="21">
        <v>0</v>
      </c>
      <c r="F291" s="24">
        <v>182530.147</v>
      </c>
      <c r="G291" s="21">
        <v>87896.273000000001</v>
      </c>
      <c r="H291" s="21">
        <v>2</v>
      </c>
      <c r="I291" s="22">
        <f t="shared" si="30"/>
        <v>1.4362566612668739</v>
      </c>
      <c r="J291" s="65">
        <v>18.48</v>
      </c>
    </row>
    <row r="292" spans="1:10" x14ac:dyDescent="0.25">
      <c r="A292" s="20" t="s">
        <v>21</v>
      </c>
      <c r="B292" s="17">
        <v>395</v>
      </c>
      <c r="C292" s="21">
        <v>133253407.73</v>
      </c>
      <c r="D292" s="21">
        <v>1734081.848</v>
      </c>
      <c r="E292" s="21">
        <v>0</v>
      </c>
      <c r="F292" s="24">
        <v>28678.154999999999</v>
      </c>
      <c r="G292" s="21">
        <v>126256.66800000001</v>
      </c>
      <c r="H292" s="21">
        <v>3</v>
      </c>
      <c r="I292" s="22">
        <f t="shared" si="30"/>
        <v>1.3013414647628538</v>
      </c>
      <c r="J292" s="65">
        <v>15.63</v>
      </c>
    </row>
    <row r="293" spans="1:10" x14ac:dyDescent="0.25">
      <c r="A293" s="20" t="s">
        <v>22</v>
      </c>
      <c r="B293" s="17">
        <v>395</v>
      </c>
      <c r="C293" s="21">
        <v>144913519.5</v>
      </c>
      <c r="D293" s="21">
        <v>2204362.443</v>
      </c>
      <c r="E293" s="21">
        <v>0</v>
      </c>
      <c r="F293" s="24">
        <v>146898.36600000001</v>
      </c>
      <c r="G293" s="21">
        <v>181451.66399999999</v>
      </c>
      <c r="H293" s="21">
        <v>2</v>
      </c>
      <c r="I293" s="22">
        <f t="shared" si="30"/>
        <v>1.5211572050736093</v>
      </c>
      <c r="J293" s="65">
        <v>18.03</v>
      </c>
    </row>
    <row r="294" spans="1:10" x14ac:dyDescent="0.25">
      <c r="A294" s="20" t="s">
        <v>23</v>
      </c>
      <c r="B294" s="17">
        <v>393</v>
      </c>
      <c r="C294" s="21">
        <v>141025310.65000001</v>
      </c>
      <c r="D294" s="21">
        <v>1985285.99</v>
      </c>
      <c r="E294" s="21">
        <v>0</v>
      </c>
      <c r="F294" s="24">
        <v>19456.511999999999</v>
      </c>
      <c r="G294" s="21">
        <v>214456.51199999999</v>
      </c>
      <c r="H294" s="21">
        <v>0</v>
      </c>
      <c r="I294" s="22">
        <f t="shared" si="30"/>
        <v>1.4077515453428997</v>
      </c>
      <c r="J294" s="65">
        <v>17.34</v>
      </c>
    </row>
    <row r="295" spans="1:10" ht="16.5" thickBot="1" x14ac:dyDescent="0.3">
      <c r="A295" s="41" t="s">
        <v>24</v>
      </c>
      <c r="B295" s="41">
        <v>403</v>
      </c>
      <c r="C295" s="42">
        <v>140381035.91999999</v>
      </c>
      <c r="D295" s="42">
        <v>2490807.1179999998</v>
      </c>
      <c r="E295" s="43">
        <v>0</v>
      </c>
      <c r="F295" s="43">
        <v>41320.682999999997</v>
      </c>
      <c r="G295" s="42">
        <v>547200.446</v>
      </c>
      <c r="H295" s="42">
        <v>6</v>
      </c>
      <c r="I295" s="44">
        <f t="shared" si="30"/>
        <v>1.7743188043002154</v>
      </c>
      <c r="J295" s="45">
        <v>16.87</v>
      </c>
    </row>
    <row r="296" spans="1:10" x14ac:dyDescent="0.25">
      <c r="A296" s="36" t="s">
        <v>25</v>
      </c>
      <c r="B296" s="46">
        <f>+B295</f>
        <v>403</v>
      </c>
      <c r="C296" s="47">
        <f>+C295</f>
        <v>140381035.91999999</v>
      </c>
      <c r="D296" s="47">
        <f t="shared" ref="D296:I296" si="31">SUM(D284:D295)</f>
        <v>27260702.477000002</v>
      </c>
      <c r="E296" s="47">
        <f t="shared" si="31"/>
        <v>0</v>
      </c>
      <c r="F296" s="48">
        <f t="shared" si="31"/>
        <v>163428985.86700001</v>
      </c>
      <c r="G296" s="47">
        <f t="shared" si="31"/>
        <v>5104388.5879999995</v>
      </c>
      <c r="H296" s="47">
        <f t="shared" si="31"/>
        <v>35</v>
      </c>
      <c r="I296" s="69">
        <f t="shared" si="31"/>
        <v>18.29937311288251</v>
      </c>
      <c r="J296" s="50">
        <f>+J295</f>
        <v>16.87</v>
      </c>
    </row>
    <row r="297" spans="1:10" x14ac:dyDescent="0.25">
      <c r="A297" s="46"/>
      <c r="B297" s="46"/>
      <c r="C297" s="47"/>
      <c r="D297" s="47"/>
      <c r="E297" s="47"/>
      <c r="F297" s="48"/>
      <c r="G297" s="47"/>
      <c r="H297" s="47"/>
      <c r="I297" s="69"/>
      <c r="J297" s="50"/>
    </row>
    <row r="298" spans="1:10" x14ac:dyDescent="0.25">
      <c r="A298" s="55">
        <v>2012</v>
      </c>
      <c r="B298" s="46"/>
      <c r="C298" s="47"/>
      <c r="D298" s="47"/>
      <c r="E298" s="47"/>
      <c r="F298" s="48"/>
      <c r="G298" s="47"/>
      <c r="H298" s="47"/>
      <c r="I298" s="49"/>
      <c r="J298" s="64"/>
    </row>
    <row r="299" spans="1:10" x14ac:dyDescent="0.25">
      <c r="A299" s="20" t="s">
        <v>13</v>
      </c>
      <c r="B299" s="17">
        <v>399</v>
      </c>
      <c r="C299" s="21">
        <v>143222005.99000001</v>
      </c>
      <c r="D299" s="21">
        <v>2234388.6260000002</v>
      </c>
      <c r="E299" s="21">
        <v>0</v>
      </c>
      <c r="F299" s="24">
        <v>577626.23100000003</v>
      </c>
      <c r="G299" s="21">
        <v>276037.739</v>
      </c>
      <c r="H299" s="21">
        <v>2</v>
      </c>
      <c r="I299" s="28">
        <f t="shared" ref="I299:I310" si="32">D299/C299*100</f>
        <v>1.5600875092868123</v>
      </c>
      <c r="J299" s="65">
        <v>18.59</v>
      </c>
    </row>
    <row r="300" spans="1:10" x14ac:dyDescent="0.25">
      <c r="A300" s="17" t="s">
        <v>14</v>
      </c>
      <c r="B300" s="17">
        <v>397</v>
      </c>
      <c r="C300" s="21">
        <v>151930482.61000001</v>
      </c>
      <c r="D300" s="21">
        <v>1730161.6070000001</v>
      </c>
      <c r="E300" s="21">
        <v>0</v>
      </c>
      <c r="F300" s="24">
        <v>3780.1889999999999</v>
      </c>
      <c r="G300" s="21">
        <v>558199.35499999998</v>
      </c>
      <c r="H300" s="21">
        <v>1</v>
      </c>
      <c r="I300" s="28">
        <f t="shared" si="32"/>
        <v>1.1387850398930552</v>
      </c>
      <c r="J300" s="29">
        <v>21.05</v>
      </c>
    </row>
    <row r="301" spans="1:10" x14ac:dyDescent="0.25">
      <c r="A301" s="20" t="s">
        <v>15</v>
      </c>
      <c r="B301" s="17">
        <v>399</v>
      </c>
      <c r="C301" s="21">
        <v>154700009.28</v>
      </c>
      <c r="D301" s="21">
        <v>1996624.53</v>
      </c>
      <c r="E301" s="21">
        <v>0</v>
      </c>
      <c r="F301" s="24">
        <v>19756.901999999998</v>
      </c>
      <c r="G301" s="21">
        <v>411523.902</v>
      </c>
      <c r="H301" s="21">
        <v>4</v>
      </c>
      <c r="I301" s="28">
        <f t="shared" si="32"/>
        <v>1.2906427991133473</v>
      </c>
      <c r="J301" s="29">
        <v>22.32</v>
      </c>
    </row>
    <row r="302" spans="1:10" x14ac:dyDescent="0.25">
      <c r="A302" s="20" t="s">
        <v>16</v>
      </c>
      <c r="B302" s="17">
        <v>406</v>
      </c>
      <c r="C302" s="21">
        <v>152869798.62</v>
      </c>
      <c r="D302" s="21">
        <v>1478285.159</v>
      </c>
      <c r="E302" s="21">
        <v>0</v>
      </c>
      <c r="F302" s="24">
        <v>131861.13399999999</v>
      </c>
      <c r="G302" s="21">
        <v>602913.61800000002</v>
      </c>
      <c r="H302" s="21">
        <v>1</v>
      </c>
      <c r="I302" s="28">
        <f t="shared" si="32"/>
        <v>0.96702237612982334</v>
      </c>
      <c r="J302" s="29">
        <v>21.76</v>
      </c>
    </row>
    <row r="303" spans="1:10" x14ac:dyDescent="0.25">
      <c r="A303" s="20" t="s">
        <v>17</v>
      </c>
      <c r="B303" s="17">
        <v>679</v>
      </c>
      <c r="C303" s="21">
        <v>143911404.50999999</v>
      </c>
      <c r="D303" s="21">
        <v>1863505.6580000001</v>
      </c>
      <c r="E303" s="21">
        <v>0</v>
      </c>
      <c r="F303" s="24">
        <v>633.96900000000005</v>
      </c>
      <c r="G303" s="21">
        <v>1964285.7220000001</v>
      </c>
      <c r="H303" s="21">
        <v>1</v>
      </c>
      <c r="I303" s="28">
        <f t="shared" si="32"/>
        <v>1.2948978326943579</v>
      </c>
      <c r="J303" s="29">
        <v>19.02</v>
      </c>
    </row>
    <row r="304" spans="1:10" x14ac:dyDescent="0.25">
      <c r="A304" s="20" t="s">
        <v>18</v>
      </c>
      <c r="B304" s="17">
        <v>679</v>
      </c>
      <c r="C304" s="21">
        <v>148061887.61000001</v>
      </c>
      <c r="D304" s="21">
        <v>2840169.6349999998</v>
      </c>
      <c r="E304" s="21">
        <v>0</v>
      </c>
      <c r="F304" s="24">
        <v>918475.07299999997</v>
      </c>
      <c r="G304" s="21">
        <v>55356.39</v>
      </c>
      <c r="H304" s="21">
        <v>6</v>
      </c>
      <c r="I304" s="28">
        <f t="shared" si="32"/>
        <v>1.9182314104228511</v>
      </c>
      <c r="J304" s="29">
        <v>21.34</v>
      </c>
    </row>
    <row r="305" spans="1:10" x14ac:dyDescent="0.25">
      <c r="A305" s="51" t="s">
        <v>19</v>
      </c>
      <c r="B305" s="17">
        <v>701</v>
      </c>
      <c r="C305" s="21">
        <v>145158640.94999999</v>
      </c>
      <c r="D305" s="21">
        <v>2022862.138</v>
      </c>
      <c r="E305" s="21">
        <v>0</v>
      </c>
      <c r="F305" s="24">
        <v>440554.91600000003</v>
      </c>
      <c r="G305" s="21">
        <v>241726.647</v>
      </c>
      <c r="H305" s="21">
        <v>0</v>
      </c>
      <c r="I305" s="22">
        <f t="shared" si="32"/>
        <v>1.3935526846774327</v>
      </c>
      <c r="J305" s="29">
        <v>20.66</v>
      </c>
    </row>
    <row r="306" spans="1:10" x14ac:dyDescent="0.25">
      <c r="A306" s="51" t="s">
        <v>20</v>
      </c>
      <c r="B306" s="17">
        <v>701</v>
      </c>
      <c r="C306" s="21">
        <v>143187984.25999999</v>
      </c>
      <c r="D306" s="21">
        <v>1604782.173</v>
      </c>
      <c r="E306" s="21">
        <v>0</v>
      </c>
      <c r="F306" s="24">
        <v>156436.78</v>
      </c>
      <c r="G306" s="21">
        <v>929146.66899999999</v>
      </c>
      <c r="H306" s="21">
        <v>1</v>
      </c>
      <c r="I306" s="22">
        <f t="shared" si="32"/>
        <v>1.1207519829918444</v>
      </c>
      <c r="J306" s="29">
        <v>20.57</v>
      </c>
    </row>
    <row r="307" spans="1:10" x14ac:dyDescent="0.25">
      <c r="A307" s="51" t="s">
        <v>21</v>
      </c>
      <c r="B307" s="17">
        <v>698</v>
      </c>
      <c r="C307" s="21">
        <v>145757015.34</v>
      </c>
      <c r="D307" s="21">
        <v>1321169.0430000001</v>
      </c>
      <c r="E307" s="21">
        <v>0</v>
      </c>
      <c r="F307" s="24">
        <v>14847.492</v>
      </c>
      <c r="G307" s="21">
        <v>89405.297999999995</v>
      </c>
      <c r="H307" s="21">
        <v>1</v>
      </c>
      <c r="I307" s="22">
        <f t="shared" si="32"/>
        <v>0.90641883680053126</v>
      </c>
      <c r="J307" s="29">
        <v>22.33</v>
      </c>
    </row>
    <row r="308" spans="1:10" x14ac:dyDescent="0.25">
      <c r="A308" s="20" t="s">
        <v>22</v>
      </c>
      <c r="B308" s="17">
        <v>697</v>
      </c>
      <c r="C308" s="21">
        <v>148309150.77000001</v>
      </c>
      <c r="D308" s="21">
        <v>1593700.402</v>
      </c>
      <c r="E308" s="21">
        <v>0</v>
      </c>
      <c r="F308" s="24">
        <v>172810.46</v>
      </c>
      <c r="G308" s="21">
        <v>161865.916</v>
      </c>
      <c r="H308" s="21">
        <v>0</v>
      </c>
      <c r="I308" s="22">
        <f t="shared" si="32"/>
        <v>1.0745799525691666</v>
      </c>
      <c r="J308" s="65">
        <v>22.78</v>
      </c>
    </row>
    <row r="309" spans="1:10" x14ac:dyDescent="0.25">
      <c r="A309" s="20" t="s">
        <v>23</v>
      </c>
      <c r="B309" s="17">
        <v>699</v>
      </c>
      <c r="C309" s="21">
        <v>145093619.27000001</v>
      </c>
      <c r="D309" s="21">
        <v>1497667.189</v>
      </c>
      <c r="E309" s="21">
        <v>0</v>
      </c>
      <c r="F309" s="24">
        <v>306599</v>
      </c>
      <c r="G309" s="21">
        <v>426206.804</v>
      </c>
      <c r="H309" s="21">
        <v>2</v>
      </c>
      <c r="I309" s="22">
        <f t="shared" si="32"/>
        <v>1.0322074785473783</v>
      </c>
      <c r="J309" s="65">
        <v>25.37</v>
      </c>
    </row>
    <row r="310" spans="1:10" ht="16.5" thickBot="1" x14ac:dyDescent="0.3">
      <c r="A310" s="41" t="s">
        <v>24</v>
      </c>
      <c r="B310" s="41">
        <v>704</v>
      </c>
      <c r="C310" s="42">
        <v>149959083.88</v>
      </c>
      <c r="D310" s="42">
        <v>2108707.0970000001</v>
      </c>
      <c r="E310" s="43">
        <v>0</v>
      </c>
      <c r="F310" s="43">
        <v>129357.689</v>
      </c>
      <c r="G310" s="42">
        <v>471574.11</v>
      </c>
      <c r="H310" s="42">
        <v>1</v>
      </c>
      <c r="I310" s="44">
        <f t="shared" si="32"/>
        <v>1.406188303129023</v>
      </c>
      <c r="J310" s="45">
        <v>26.35</v>
      </c>
    </row>
    <row r="311" spans="1:10" x14ac:dyDescent="0.25">
      <c r="A311" s="70" t="s">
        <v>25</v>
      </c>
      <c r="B311" s="71">
        <f>+B310</f>
        <v>704</v>
      </c>
      <c r="C311" s="72">
        <f>+C310</f>
        <v>149959083.88</v>
      </c>
      <c r="D311" s="72">
        <f t="shared" ref="D311:I311" si="33">SUM(D299:D310)</f>
        <v>22292023.256999999</v>
      </c>
      <c r="E311" s="72">
        <f t="shared" si="33"/>
        <v>0</v>
      </c>
      <c r="F311" s="73">
        <f>SUM(F299:F310)</f>
        <v>2872739.835</v>
      </c>
      <c r="G311" s="72">
        <f t="shared" si="33"/>
        <v>6188242.1700000009</v>
      </c>
      <c r="H311" s="72">
        <f t="shared" si="33"/>
        <v>20</v>
      </c>
      <c r="I311" s="74">
        <f t="shared" si="33"/>
        <v>15.103366206255624</v>
      </c>
      <c r="J311" s="75">
        <f>+J310</f>
        <v>26.35</v>
      </c>
    </row>
    <row r="312" spans="1:10" x14ac:dyDescent="0.25">
      <c r="A312" s="46"/>
      <c r="B312" s="46"/>
      <c r="C312" s="47"/>
      <c r="D312" s="47"/>
      <c r="E312" s="47"/>
      <c r="F312" s="48"/>
      <c r="G312" s="47"/>
      <c r="H312" s="47"/>
      <c r="I312" s="69"/>
      <c r="J312" s="50"/>
    </row>
    <row r="313" spans="1:10" x14ac:dyDescent="0.25">
      <c r="A313" s="55">
        <v>2013</v>
      </c>
      <c r="B313" s="46"/>
      <c r="C313" s="47"/>
      <c r="D313" s="47"/>
      <c r="E313" s="47"/>
      <c r="F313" s="48"/>
      <c r="G313" s="47"/>
      <c r="H313" s="47"/>
      <c r="I313" s="49"/>
      <c r="J313" s="64"/>
    </row>
    <row r="314" spans="1:10" ht="13.5" customHeight="1" x14ac:dyDescent="0.25">
      <c r="A314" s="20" t="s">
        <v>13</v>
      </c>
      <c r="B314" s="17">
        <v>723</v>
      </c>
      <c r="C314" s="21">
        <v>149959083.88</v>
      </c>
      <c r="D314" s="21">
        <v>2508903.966</v>
      </c>
      <c r="E314" s="21">
        <v>0</v>
      </c>
      <c r="F314" s="24">
        <v>105255.337</v>
      </c>
      <c r="G314" s="21">
        <v>232147.571</v>
      </c>
      <c r="H314" s="21">
        <v>2</v>
      </c>
      <c r="I314" s="28">
        <f t="shared" ref="I314:I334" si="34">D314/C314*100</f>
        <v>1.6730590112218016</v>
      </c>
      <c r="J314" s="65">
        <v>27.91</v>
      </c>
    </row>
    <row r="315" spans="1:10" x14ac:dyDescent="0.25">
      <c r="A315" s="17" t="s">
        <v>14</v>
      </c>
      <c r="B315" s="17">
        <v>724</v>
      </c>
      <c r="C315" s="21">
        <v>158879561.56</v>
      </c>
      <c r="D315" s="21">
        <v>3070903.0860000001</v>
      </c>
      <c r="E315" s="21">
        <v>0</v>
      </c>
      <c r="F315" s="24">
        <v>7391.7049999999999</v>
      </c>
      <c r="G315" s="21">
        <v>15353.111000000001</v>
      </c>
      <c r="H315" s="21">
        <v>2</v>
      </c>
      <c r="I315" s="28">
        <f t="shared" si="34"/>
        <v>1.9328496729519802</v>
      </c>
      <c r="J315" s="29">
        <v>28.35</v>
      </c>
    </row>
    <row r="316" spans="1:10" x14ac:dyDescent="0.25">
      <c r="A316" s="17" t="s">
        <v>15</v>
      </c>
      <c r="B316" s="17">
        <v>785</v>
      </c>
      <c r="C316" s="21">
        <v>156849403</v>
      </c>
      <c r="D316" s="21">
        <v>1918726.0330000001</v>
      </c>
      <c r="E316" s="21">
        <v>0</v>
      </c>
      <c r="F316" s="24">
        <v>3628395.6979999999</v>
      </c>
      <c r="G316" s="21">
        <v>12598912.526000001</v>
      </c>
      <c r="H316" s="21">
        <v>2</v>
      </c>
      <c r="I316" s="28">
        <f t="shared" si="34"/>
        <v>1.2232918941999416</v>
      </c>
      <c r="J316" s="29">
        <v>26.8</v>
      </c>
    </row>
    <row r="317" spans="1:10" x14ac:dyDescent="0.25">
      <c r="A317" s="20" t="s">
        <v>16</v>
      </c>
      <c r="B317" s="17">
        <v>796</v>
      </c>
      <c r="C317" s="21">
        <v>154996059</v>
      </c>
      <c r="D317" s="21">
        <v>1844628.946</v>
      </c>
      <c r="E317" s="21">
        <v>0</v>
      </c>
      <c r="F317" s="24">
        <v>39970.061999999998</v>
      </c>
      <c r="G317" s="21">
        <v>636621.04799999995</v>
      </c>
      <c r="H317" s="21">
        <v>2</v>
      </c>
      <c r="I317" s="28">
        <f t="shared" si="34"/>
        <v>1.1901134505619912</v>
      </c>
      <c r="J317" s="29">
        <v>27.19</v>
      </c>
    </row>
    <row r="318" spans="1:10" x14ac:dyDescent="0.25">
      <c r="A318" s="17" t="s">
        <v>17</v>
      </c>
      <c r="B318" s="17">
        <v>785</v>
      </c>
      <c r="C318" s="21">
        <v>152327588</v>
      </c>
      <c r="D318" s="21">
        <v>1907087.7050000001</v>
      </c>
      <c r="E318" s="21">
        <v>0</v>
      </c>
      <c r="F318" s="24">
        <v>15792.433999999999</v>
      </c>
      <c r="G318" s="21">
        <v>1926147.6510000001</v>
      </c>
      <c r="H318" s="21">
        <v>1</v>
      </c>
      <c r="I318" s="28">
        <f t="shared" si="34"/>
        <v>1.2519647491562724</v>
      </c>
      <c r="J318" s="29">
        <v>26.35</v>
      </c>
    </row>
    <row r="319" spans="1:10" x14ac:dyDescent="0.25">
      <c r="A319" s="17" t="s">
        <v>18</v>
      </c>
      <c r="B319" s="17">
        <v>783</v>
      </c>
      <c r="C319" s="21">
        <v>148692750</v>
      </c>
      <c r="D319" s="21">
        <v>1846933.2479999999</v>
      </c>
      <c r="E319" s="21">
        <v>0</v>
      </c>
      <c r="F319" s="24">
        <v>305190.897</v>
      </c>
      <c r="G319" s="21">
        <v>60177.758999999998</v>
      </c>
      <c r="H319" s="21">
        <v>2</v>
      </c>
      <c r="I319" s="28">
        <f t="shared" si="34"/>
        <v>1.2421138542396988</v>
      </c>
      <c r="J319" s="29">
        <v>24.55</v>
      </c>
    </row>
    <row r="320" spans="1:10" x14ac:dyDescent="0.25">
      <c r="A320" s="17" t="s">
        <v>19</v>
      </c>
      <c r="B320" s="17">
        <v>782</v>
      </c>
      <c r="C320" s="21">
        <v>140574784.63</v>
      </c>
      <c r="D320" s="21">
        <v>1706502.1459999999</v>
      </c>
      <c r="E320" s="21">
        <v>0</v>
      </c>
      <c r="F320" s="24">
        <v>16796.968000000001</v>
      </c>
      <c r="G320" s="21">
        <v>49317.034</v>
      </c>
      <c r="H320" s="21">
        <v>2</v>
      </c>
      <c r="I320" s="28">
        <f t="shared" si="34"/>
        <v>1.213946121626009</v>
      </c>
      <c r="J320" s="29">
        <v>22.63</v>
      </c>
    </row>
    <row r="321" spans="1:10" x14ac:dyDescent="0.25">
      <c r="A321" s="17" t="s">
        <v>20</v>
      </c>
      <c r="B321" s="17">
        <v>786</v>
      </c>
      <c r="C321" s="21">
        <v>137647724.78999999</v>
      </c>
      <c r="D321" s="21">
        <v>1477365.277</v>
      </c>
      <c r="E321" s="21">
        <v>0</v>
      </c>
      <c r="F321" s="24">
        <v>26413.115000000002</v>
      </c>
      <c r="G321" s="21">
        <v>283014.12099999998</v>
      </c>
      <c r="H321" s="21">
        <v>2</v>
      </c>
      <c r="I321" s="28">
        <f t="shared" si="34"/>
        <v>1.0732943673816027</v>
      </c>
      <c r="J321" s="29">
        <v>21.2</v>
      </c>
    </row>
    <row r="322" spans="1:10" x14ac:dyDescent="0.25">
      <c r="A322" s="17" t="s">
        <v>21</v>
      </c>
      <c r="B322" s="17">
        <v>778</v>
      </c>
      <c r="C322" s="21">
        <v>142091387</v>
      </c>
      <c r="D322" s="21">
        <v>1797198.3659999999</v>
      </c>
      <c r="E322" s="21">
        <v>0</v>
      </c>
      <c r="F322" s="24">
        <v>178186.10500000001</v>
      </c>
      <c r="G322" s="21">
        <v>98184.157999999996</v>
      </c>
      <c r="H322" s="21">
        <v>2</v>
      </c>
      <c r="I322" s="28">
        <f t="shared" si="34"/>
        <v>1.2648186522382245</v>
      </c>
      <c r="J322" s="29">
        <v>22.44</v>
      </c>
    </row>
    <row r="323" spans="1:10" x14ac:dyDescent="0.25">
      <c r="A323" s="17" t="s">
        <v>22</v>
      </c>
      <c r="B323" s="17">
        <v>779</v>
      </c>
      <c r="C323" s="21">
        <v>145562587</v>
      </c>
      <c r="D323" s="21">
        <v>1565667.1640000001</v>
      </c>
      <c r="E323" s="21">
        <v>0</v>
      </c>
      <c r="F323" s="24">
        <v>356252.67599999998</v>
      </c>
      <c r="G323" s="21">
        <v>152347.46299999999</v>
      </c>
      <c r="H323" s="21">
        <v>1</v>
      </c>
      <c r="I323" s="28">
        <f t="shared" si="34"/>
        <v>1.0755972370840043</v>
      </c>
      <c r="J323" s="29">
        <v>22.48</v>
      </c>
    </row>
    <row r="324" spans="1:10" x14ac:dyDescent="0.25">
      <c r="A324" s="17" t="s">
        <v>23</v>
      </c>
      <c r="B324" s="17">
        <v>774</v>
      </c>
      <c r="C324" s="21">
        <v>142441641.88999999</v>
      </c>
      <c r="D324" s="21">
        <v>1369123.5279999999</v>
      </c>
      <c r="E324" s="21">
        <v>0</v>
      </c>
      <c r="F324" s="24">
        <v>9383.7369999999992</v>
      </c>
      <c r="G324" s="21">
        <v>164109.63200000001</v>
      </c>
      <c r="H324" s="21">
        <v>5</v>
      </c>
      <c r="I324" s="28">
        <f t="shared" si="34"/>
        <v>0.96118207416992596</v>
      </c>
      <c r="J324" s="29">
        <v>20.079999999999998</v>
      </c>
    </row>
    <row r="325" spans="1:10" ht="16.5" thickBot="1" x14ac:dyDescent="0.3">
      <c r="A325" s="17" t="s">
        <v>24</v>
      </c>
      <c r="B325" s="17">
        <v>773</v>
      </c>
      <c r="C325" s="21">
        <v>139323110</v>
      </c>
      <c r="D325" s="21">
        <v>2337676.0830000001</v>
      </c>
      <c r="E325" s="21">
        <v>0</v>
      </c>
      <c r="F325" s="24">
        <v>542060.80700000003</v>
      </c>
      <c r="G325" s="21">
        <v>434897.152</v>
      </c>
      <c r="H325" s="21">
        <v>0</v>
      </c>
      <c r="I325" s="28">
        <f t="shared" si="34"/>
        <v>1.6778810658188723</v>
      </c>
      <c r="J325" s="29">
        <v>19.100000000000001</v>
      </c>
    </row>
    <row r="326" spans="1:10" x14ac:dyDescent="0.25">
      <c r="A326" s="70" t="s">
        <v>25</v>
      </c>
      <c r="B326" s="71">
        <f>+B325</f>
        <v>773</v>
      </c>
      <c r="C326" s="72">
        <f>+C325</f>
        <v>139323110</v>
      </c>
      <c r="D326" s="72">
        <f t="shared" ref="D326:I326" si="35">SUM(D314:D325)</f>
        <v>23350715.548</v>
      </c>
      <c r="E326" s="72">
        <f t="shared" si="35"/>
        <v>0</v>
      </c>
      <c r="F326" s="73">
        <f>SUM(F314:F325)</f>
        <v>5231089.5409999993</v>
      </c>
      <c r="G326" s="72">
        <f t="shared" si="35"/>
        <v>16651229.226</v>
      </c>
      <c r="H326" s="72">
        <f t="shared" si="35"/>
        <v>23</v>
      </c>
      <c r="I326" s="74">
        <f t="shared" si="35"/>
        <v>15.780112150650325</v>
      </c>
      <c r="J326" s="75">
        <f>+J325</f>
        <v>19.100000000000001</v>
      </c>
    </row>
    <row r="327" spans="1:10" x14ac:dyDescent="0.25">
      <c r="A327" s="20"/>
      <c r="B327" s="17"/>
      <c r="C327" s="21"/>
      <c r="D327" s="21"/>
      <c r="E327" s="21"/>
      <c r="F327" s="24"/>
      <c r="G327" s="21"/>
      <c r="H327" s="21"/>
      <c r="I327" s="28"/>
      <c r="J327" s="29"/>
    </row>
    <row r="328" spans="1:10" x14ac:dyDescent="0.25">
      <c r="A328" s="13">
        <v>2014</v>
      </c>
      <c r="B328" s="17"/>
      <c r="C328" s="21"/>
      <c r="D328" s="21"/>
      <c r="E328" s="21"/>
      <c r="F328" s="24"/>
      <c r="G328" s="21"/>
      <c r="H328" s="21"/>
      <c r="I328" s="28"/>
      <c r="J328" s="29"/>
    </row>
    <row r="329" spans="1:10" x14ac:dyDescent="0.25">
      <c r="A329" s="17" t="s">
        <v>13</v>
      </c>
      <c r="B329" s="17">
        <v>771</v>
      </c>
      <c r="C329" s="21">
        <v>131584686</v>
      </c>
      <c r="D329" s="21">
        <v>2307480.1549999998</v>
      </c>
      <c r="E329" s="21">
        <v>0</v>
      </c>
      <c r="F329" s="24">
        <v>138440.038</v>
      </c>
      <c r="G329" s="39">
        <v>126808.39</v>
      </c>
      <c r="H329" s="21">
        <v>2</v>
      </c>
      <c r="I329" s="28">
        <f t="shared" si="34"/>
        <v>1.7536084366230882</v>
      </c>
      <c r="J329" s="29">
        <v>18.68</v>
      </c>
    </row>
    <row r="330" spans="1:10" x14ac:dyDescent="0.25">
      <c r="A330" s="17" t="s">
        <v>14</v>
      </c>
      <c r="B330" s="17">
        <v>777</v>
      </c>
      <c r="C330" s="21">
        <v>139320109</v>
      </c>
      <c r="D330" s="21">
        <v>1498750.7309999999</v>
      </c>
      <c r="E330" s="21">
        <v>0</v>
      </c>
      <c r="F330" s="24">
        <v>2262.453</v>
      </c>
      <c r="G330" s="39">
        <v>20974.61</v>
      </c>
      <c r="H330" s="21">
        <v>2</v>
      </c>
      <c r="I330" s="28">
        <f t="shared" si="34"/>
        <v>1.0757605214047026</v>
      </c>
      <c r="J330" s="29">
        <v>20.18</v>
      </c>
    </row>
    <row r="331" spans="1:10" x14ac:dyDescent="0.25">
      <c r="A331" s="17" t="s">
        <v>15</v>
      </c>
      <c r="B331" s="17">
        <v>773</v>
      </c>
      <c r="C331" s="21">
        <v>140399626</v>
      </c>
      <c r="D331" s="21">
        <v>1440560.798</v>
      </c>
      <c r="E331" s="21">
        <v>0</v>
      </c>
      <c r="F331" s="24">
        <v>133221.473</v>
      </c>
      <c r="G331" s="39">
        <v>634526.49600000004</v>
      </c>
      <c r="H331" s="21">
        <v>6</v>
      </c>
      <c r="I331" s="28">
        <f t="shared" si="34"/>
        <v>1.0260431876079212</v>
      </c>
      <c r="J331" s="29">
        <v>20.34</v>
      </c>
    </row>
    <row r="332" spans="1:10" x14ac:dyDescent="0.25">
      <c r="A332" s="17" t="s">
        <v>16</v>
      </c>
      <c r="B332" s="17">
        <v>793</v>
      </c>
      <c r="C332" s="21">
        <v>144303573.41999999</v>
      </c>
      <c r="D332" s="21">
        <v>1285288.46</v>
      </c>
      <c r="E332" s="21">
        <v>0</v>
      </c>
      <c r="F332" s="24">
        <v>227732.217</v>
      </c>
      <c r="G332" s="39">
        <v>639678.89500000002</v>
      </c>
      <c r="H332" s="21">
        <v>1</v>
      </c>
      <c r="I332" s="28">
        <f t="shared" si="34"/>
        <v>0.89068373674928236</v>
      </c>
      <c r="J332" s="29">
        <v>20.53</v>
      </c>
    </row>
    <row r="333" spans="1:10" x14ac:dyDescent="0.25">
      <c r="A333" s="17" t="s">
        <v>17</v>
      </c>
      <c r="B333" s="17">
        <v>769</v>
      </c>
      <c r="C333" s="21">
        <v>144350266</v>
      </c>
      <c r="D333" s="21">
        <v>1397561.652</v>
      </c>
      <c r="E333" s="21">
        <v>0</v>
      </c>
      <c r="F333" s="24">
        <v>112593.91499999999</v>
      </c>
      <c r="G333" s="39">
        <v>1869816.318</v>
      </c>
      <c r="H333" s="21">
        <v>0</v>
      </c>
      <c r="I333" s="28">
        <f t="shared" si="34"/>
        <v>0.968173936028632</v>
      </c>
      <c r="J333" s="29">
        <v>20.8</v>
      </c>
    </row>
    <row r="334" spans="1:10" x14ac:dyDescent="0.25">
      <c r="A334" s="17" t="s">
        <v>18</v>
      </c>
      <c r="B334" s="17">
        <v>769</v>
      </c>
      <c r="C334" s="21">
        <v>143154058</v>
      </c>
      <c r="D334" s="21">
        <v>1193475.9210000001</v>
      </c>
      <c r="E334" s="21">
        <v>0</v>
      </c>
      <c r="F334" s="54">
        <v>42972.076000000001</v>
      </c>
      <c r="G334" s="39">
        <v>65116.461000000003</v>
      </c>
      <c r="H334" s="21">
        <v>1</v>
      </c>
      <c r="I334" s="28">
        <f t="shared" si="34"/>
        <v>0.83370037683458476</v>
      </c>
      <c r="J334" s="29">
        <v>20.47</v>
      </c>
    </row>
    <row r="335" spans="1:10" x14ac:dyDescent="0.25">
      <c r="A335" s="17" t="s">
        <v>19</v>
      </c>
      <c r="B335" s="17">
        <v>769</v>
      </c>
      <c r="C335" s="21">
        <v>142764149</v>
      </c>
      <c r="D335" s="21">
        <v>1287959.372</v>
      </c>
      <c r="E335" s="21">
        <v>0</v>
      </c>
      <c r="F335" s="24">
        <v>192583.285</v>
      </c>
      <c r="G335" s="39">
        <v>172732.889</v>
      </c>
      <c r="H335" s="21">
        <v>0</v>
      </c>
      <c r="I335" s="28">
        <f t="shared" ref="I335:I338" si="36">D335/C335*100</f>
        <v>0.90215882700354977</v>
      </c>
      <c r="J335" s="29">
        <v>20.38</v>
      </c>
    </row>
    <row r="336" spans="1:10" x14ac:dyDescent="0.25">
      <c r="A336" s="17" t="s">
        <v>20</v>
      </c>
      <c r="B336" s="17">
        <v>768</v>
      </c>
      <c r="C336" s="21">
        <v>145469051.68000001</v>
      </c>
      <c r="D336" s="21">
        <v>1626147.03</v>
      </c>
      <c r="E336" s="21">
        <v>0</v>
      </c>
      <c r="F336" s="24">
        <v>70641.335000000006</v>
      </c>
      <c r="G336" s="39">
        <v>81014.145999999993</v>
      </c>
      <c r="H336" s="21">
        <v>1</v>
      </c>
      <c r="I336" s="28">
        <f t="shared" si="36"/>
        <v>1.1178645981532667</v>
      </c>
      <c r="J336" s="29">
        <v>20.91</v>
      </c>
    </row>
    <row r="337" spans="1:12" x14ac:dyDescent="0.25">
      <c r="A337" s="17" t="s">
        <v>21</v>
      </c>
      <c r="B337" s="17">
        <v>769</v>
      </c>
      <c r="C337" s="21">
        <v>144685882</v>
      </c>
      <c r="D337" s="21">
        <v>1612180.206</v>
      </c>
      <c r="E337" s="21">
        <v>0</v>
      </c>
      <c r="F337" s="24">
        <v>32500</v>
      </c>
      <c r="G337" s="39">
        <v>82298.710000000006</v>
      </c>
      <c r="H337" s="21">
        <v>2</v>
      </c>
      <c r="I337" s="28">
        <f t="shared" si="36"/>
        <v>1.1142622788863394</v>
      </c>
      <c r="J337" s="29">
        <v>20.74</v>
      </c>
    </row>
    <row r="338" spans="1:12" x14ac:dyDescent="0.25">
      <c r="A338" s="17" t="s">
        <v>22</v>
      </c>
      <c r="B338" s="17">
        <v>768</v>
      </c>
      <c r="C338" s="21">
        <v>142019383</v>
      </c>
      <c r="D338" s="21">
        <v>1331658.655</v>
      </c>
      <c r="E338" s="21">
        <v>0</v>
      </c>
      <c r="F338" s="24">
        <v>76508.205000000002</v>
      </c>
      <c r="G338" s="39">
        <v>138027.66699999999</v>
      </c>
      <c r="H338" s="21">
        <v>1</v>
      </c>
      <c r="I338" s="28">
        <f t="shared" si="36"/>
        <v>0.93765979464929794</v>
      </c>
      <c r="J338" s="29">
        <v>20.29</v>
      </c>
    </row>
    <row r="339" spans="1:12" x14ac:dyDescent="0.25">
      <c r="A339" s="17" t="s">
        <v>23</v>
      </c>
      <c r="B339" s="17">
        <v>779</v>
      </c>
      <c r="C339" s="21">
        <v>145921241</v>
      </c>
      <c r="D339" s="21">
        <v>3077814.398</v>
      </c>
      <c r="E339" s="21">
        <v>0</v>
      </c>
      <c r="F339" s="24">
        <v>15955.035</v>
      </c>
      <c r="G339" s="39">
        <v>51782.87</v>
      </c>
      <c r="H339" s="21">
        <v>4</v>
      </c>
      <c r="I339" s="28">
        <f t="shared" ref="I339:I340" si="37">D339/C339*100</f>
        <v>2.1092298673638608</v>
      </c>
      <c r="J339" s="29">
        <v>20.85</v>
      </c>
    </row>
    <row r="340" spans="1:12" ht="16.5" thickBot="1" x14ac:dyDescent="0.3">
      <c r="A340" s="17" t="s">
        <v>24</v>
      </c>
      <c r="B340" s="17">
        <v>1010</v>
      </c>
      <c r="C340" s="21">
        <v>141545012</v>
      </c>
      <c r="D340" s="21">
        <v>1237426.352</v>
      </c>
      <c r="E340" s="21">
        <v>0</v>
      </c>
      <c r="F340" s="24">
        <v>267.17099999999999</v>
      </c>
      <c r="G340" s="39">
        <v>731893.65899999999</v>
      </c>
      <c r="H340" s="21">
        <v>3</v>
      </c>
      <c r="I340" s="28">
        <f t="shared" si="37"/>
        <v>0.8742281586015902</v>
      </c>
      <c r="J340" s="29">
        <v>19.690000000000001</v>
      </c>
    </row>
    <row r="341" spans="1:12" x14ac:dyDescent="0.25">
      <c r="A341" s="70" t="s">
        <v>25</v>
      </c>
      <c r="B341" s="71">
        <f>+B340</f>
        <v>1010</v>
      </c>
      <c r="C341" s="72">
        <f>+C340</f>
        <v>141545012</v>
      </c>
      <c r="D341" s="72">
        <f t="shared" ref="D341:E341" si="38">SUM(D329:D340)</f>
        <v>19296303.729999997</v>
      </c>
      <c r="E341" s="72">
        <f t="shared" si="38"/>
        <v>0</v>
      </c>
      <c r="F341" s="73">
        <f>SUM(F329:F340)</f>
        <v>1045677.203</v>
      </c>
      <c r="G341" s="72">
        <f t="shared" ref="G341:I341" si="39">SUM(G329:G340)</f>
        <v>4614671.1109999996</v>
      </c>
      <c r="H341" s="72">
        <f t="shared" si="39"/>
        <v>23</v>
      </c>
      <c r="I341" s="74">
        <f t="shared" si="39"/>
        <v>13.603373719906118</v>
      </c>
      <c r="J341" s="75">
        <f>+J340</f>
        <v>19.690000000000001</v>
      </c>
    </row>
    <row r="342" spans="1:12" x14ac:dyDescent="0.25">
      <c r="A342" s="46"/>
      <c r="B342" s="46"/>
      <c r="C342" s="47"/>
      <c r="D342" s="47"/>
      <c r="E342" s="47"/>
      <c r="F342" s="48"/>
      <c r="G342" s="47"/>
      <c r="H342" s="47"/>
      <c r="I342" s="69"/>
      <c r="J342" s="29"/>
    </row>
    <row r="343" spans="1:12" x14ac:dyDescent="0.25">
      <c r="A343" s="13">
        <v>2015</v>
      </c>
      <c r="B343" s="17"/>
      <c r="C343" s="21"/>
      <c r="D343" s="21"/>
      <c r="E343" s="21"/>
      <c r="F343" s="24"/>
      <c r="G343" s="39"/>
      <c r="H343" s="21"/>
      <c r="I343" s="28"/>
      <c r="J343" s="29"/>
      <c r="L343" s="97"/>
    </row>
    <row r="344" spans="1:12" x14ac:dyDescent="0.25">
      <c r="A344" s="17" t="s">
        <v>13</v>
      </c>
      <c r="B344" s="17">
        <v>999</v>
      </c>
      <c r="C344" s="76">
        <v>147219061</v>
      </c>
      <c r="D344" s="76">
        <v>1194857.0319999999</v>
      </c>
      <c r="E344" s="21">
        <v>0</v>
      </c>
      <c r="F344" s="76">
        <v>26142.516</v>
      </c>
      <c r="G344" s="98">
        <v>320569.70826099999</v>
      </c>
      <c r="H344" s="21">
        <v>1</v>
      </c>
      <c r="I344" s="28">
        <f t="shared" ref="I344:I355" si="40">D344/C344*100</f>
        <v>0.81161843030638536</v>
      </c>
      <c r="J344" s="29">
        <v>20.29</v>
      </c>
      <c r="L344" s="97"/>
    </row>
    <row r="345" spans="1:12" x14ac:dyDescent="0.25">
      <c r="A345" s="17" t="s">
        <v>14</v>
      </c>
      <c r="B345" s="17">
        <v>999</v>
      </c>
      <c r="C345" s="76">
        <v>151111633</v>
      </c>
      <c r="D345" s="76">
        <v>1219446.29</v>
      </c>
      <c r="E345" s="21">
        <v>0</v>
      </c>
      <c r="F345" s="76">
        <v>11895.296</v>
      </c>
      <c r="G345" s="98">
        <v>20050.000461</v>
      </c>
      <c r="H345" s="21">
        <v>3</v>
      </c>
      <c r="I345" s="28">
        <f t="shared" si="40"/>
        <v>0.80698372838046173</v>
      </c>
      <c r="J345" s="29">
        <v>21.43</v>
      </c>
      <c r="L345" s="97"/>
    </row>
    <row r="346" spans="1:12" x14ac:dyDescent="0.25">
      <c r="A346" s="17" t="s">
        <v>15</v>
      </c>
      <c r="B346" s="17">
        <v>1000</v>
      </c>
      <c r="C346" s="76">
        <v>149791415</v>
      </c>
      <c r="D346" s="76">
        <v>1596969.406</v>
      </c>
      <c r="E346" s="21">
        <v>0</v>
      </c>
      <c r="F346" s="76">
        <v>14500.499</v>
      </c>
      <c r="G346" s="98">
        <v>654486.83193500002</v>
      </c>
      <c r="H346" s="21">
        <v>1</v>
      </c>
      <c r="I346" s="28">
        <f t="shared" si="40"/>
        <v>1.0661287938297399</v>
      </c>
      <c r="J346" s="29">
        <v>20.41</v>
      </c>
      <c r="L346" s="97"/>
    </row>
    <row r="347" spans="1:12" x14ac:dyDescent="0.25">
      <c r="A347" s="17" t="s">
        <v>16</v>
      </c>
      <c r="B347" s="17">
        <v>1005</v>
      </c>
      <c r="C347" s="76">
        <v>150800046</v>
      </c>
      <c r="D347" s="76">
        <v>1439817.0989999999</v>
      </c>
      <c r="E347" s="21">
        <v>0</v>
      </c>
      <c r="F347" s="76">
        <v>24546.241000000002</v>
      </c>
      <c r="G347" s="98">
        <v>617429.63705300004</v>
      </c>
      <c r="H347" s="21">
        <v>1</v>
      </c>
      <c r="I347" s="28">
        <f t="shared" si="40"/>
        <v>0.95478558342084319</v>
      </c>
      <c r="J347" s="29">
        <v>20.82</v>
      </c>
      <c r="L347" s="97"/>
    </row>
    <row r="348" spans="1:12" x14ac:dyDescent="0.25">
      <c r="A348" s="17" t="s">
        <v>17</v>
      </c>
      <c r="B348" s="17">
        <v>1002</v>
      </c>
      <c r="C348" s="76">
        <v>145917954</v>
      </c>
      <c r="D348" s="76">
        <v>1475255.36</v>
      </c>
      <c r="E348" s="21">
        <v>0</v>
      </c>
      <c r="F348" s="76">
        <v>16414.330000000002</v>
      </c>
      <c r="G348" s="98">
        <v>1961065.7141720001</v>
      </c>
      <c r="H348" s="21">
        <v>1</v>
      </c>
      <c r="I348" s="28">
        <f t="shared" si="40"/>
        <v>1.0110170267327077</v>
      </c>
      <c r="J348" s="29">
        <v>20.2</v>
      </c>
      <c r="L348" s="97"/>
    </row>
    <row r="349" spans="1:12" x14ac:dyDescent="0.25">
      <c r="A349" s="17" t="s">
        <v>18</v>
      </c>
      <c r="B349" s="17">
        <v>1082</v>
      </c>
      <c r="C349" s="76">
        <v>143976248</v>
      </c>
      <c r="D349" s="76">
        <v>1317868.71</v>
      </c>
      <c r="E349" s="21">
        <v>0</v>
      </c>
      <c r="F349" s="76">
        <v>2086.4830000000002</v>
      </c>
      <c r="G349" s="98">
        <v>32950.188437999997</v>
      </c>
      <c r="H349" s="21">
        <v>0</v>
      </c>
      <c r="I349" s="28">
        <f t="shared" si="40"/>
        <v>0.91533758401594123</v>
      </c>
      <c r="J349" s="29">
        <v>19.77</v>
      </c>
      <c r="L349" s="97"/>
    </row>
    <row r="350" spans="1:12" x14ac:dyDescent="0.25">
      <c r="A350" s="17" t="s">
        <v>19</v>
      </c>
      <c r="B350" s="17">
        <v>1094</v>
      </c>
      <c r="C350" s="76">
        <v>141349060</v>
      </c>
      <c r="D350" s="76">
        <v>985512.04299999995</v>
      </c>
      <c r="E350" s="21">
        <v>0</v>
      </c>
      <c r="F350" s="76">
        <v>2889.9589999999998</v>
      </c>
      <c r="G350" s="98">
        <v>338382.76987999998</v>
      </c>
      <c r="H350" s="21">
        <v>0</v>
      </c>
      <c r="I350" s="28">
        <f t="shared" si="40"/>
        <v>0.69721867481821242</v>
      </c>
      <c r="J350" s="29">
        <v>19.38</v>
      </c>
      <c r="L350" s="97"/>
    </row>
    <row r="351" spans="1:12" x14ac:dyDescent="0.25">
      <c r="A351" s="17" t="s">
        <v>20</v>
      </c>
      <c r="B351" s="17">
        <v>1101</v>
      </c>
      <c r="C351" s="76">
        <v>139730921</v>
      </c>
      <c r="D351" s="76">
        <v>1028910.925</v>
      </c>
      <c r="E351" s="21">
        <v>0</v>
      </c>
      <c r="F351" s="76">
        <v>4754.9930000000004</v>
      </c>
      <c r="G351" s="98">
        <v>59644.252972000002</v>
      </c>
      <c r="H351" s="21">
        <v>1</v>
      </c>
      <c r="I351" s="28">
        <f t="shared" si="40"/>
        <v>0.73635163758778921</v>
      </c>
      <c r="J351" s="29">
        <v>19.09</v>
      </c>
      <c r="L351" s="97"/>
    </row>
    <row r="352" spans="1:12" x14ac:dyDescent="0.25">
      <c r="A352" s="17" t="s">
        <v>21</v>
      </c>
      <c r="B352" s="17">
        <v>1103</v>
      </c>
      <c r="C352" s="76">
        <v>135343153</v>
      </c>
      <c r="D352" s="76">
        <v>1080958.027</v>
      </c>
      <c r="E352" s="21">
        <v>0</v>
      </c>
      <c r="F352" s="76">
        <v>2686.4290000000001</v>
      </c>
      <c r="G352" s="98">
        <v>59217.517</v>
      </c>
      <c r="H352" s="21">
        <v>2</v>
      </c>
      <c r="I352" s="28">
        <f t="shared" si="40"/>
        <v>0.79867950689755252</v>
      </c>
      <c r="J352" s="29">
        <v>18.62</v>
      </c>
      <c r="L352" s="97"/>
    </row>
    <row r="353" spans="1:14" x14ac:dyDescent="0.25">
      <c r="A353" s="17" t="s">
        <v>22</v>
      </c>
      <c r="B353" s="17">
        <v>1104</v>
      </c>
      <c r="C353" s="76">
        <v>138857759</v>
      </c>
      <c r="D353" s="76">
        <v>1018758.942</v>
      </c>
      <c r="E353" s="21">
        <v>0</v>
      </c>
      <c r="F353" s="24">
        <v>0</v>
      </c>
      <c r="G353" s="99">
        <v>186731.67300000001</v>
      </c>
      <c r="H353" s="21">
        <v>4</v>
      </c>
      <c r="I353" s="28">
        <f t="shared" si="40"/>
        <v>0.73367087970935785</v>
      </c>
      <c r="J353" s="29">
        <v>20.16</v>
      </c>
      <c r="L353" s="97"/>
    </row>
    <row r="354" spans="1:14" x14ac:dyDescent="0.25">
      <c r="A354" s="17" t="s">
        <v>23</v>
      </c>
      <c r="B354" s="17">
        <v>1105</v>
      </c>
      <c r="C354" s="76">
        <v>133756853</v>
      </c>
      <c r="D354" s="76">
        <v>1353947.4029999999</v>
      </c>
      <c r="E354" s="21">
        <v>0</v>
      </c>
      <c r="F354" s="76">
        <v>71313.384000000005</v>
      </c>
      <c r="G354" s="39">
        <v>215213.197143</v>
      </c>
      <c r="H354" s="21">
        <v>2</v>
      </c>
      <c r="I354" s="28">
        <f t="shared" si="40"/>
        <v>1.0122452589401156</v>
      </c>
      <c r="J354" s="29">
        <v>20.399999999999999</v>
      </c>
      <c r="N354" s="130"/>
    </row>
    <row r="355" spans="1:14" ht="16.5" thickBot="1" x14ac:dyDescent="0.3">
      <c r="A355" s="17" t="s">
        <v>24</v>
      </c>
      <c r="B355" s="17">
        <v>1131</v>
      </c>
      <c r="C355" s="76">
        <v>134836983</v>
      </c>
      <c r="D355" s="76">
        <v>906088.70499999996</v>
      </c>
      <c r="E355" s="21">
        <v>0</v>
      </c>
      <c r="F355" s="24">
        <v>6877</v>
      </c>
      <c r="G355" s="21">
        <v>248476.032171</v>
      </c>
      <c r="H355" s="21">
        <v>0</v>
      </c>
      <c r="I355" s="28">
        <f t="shared" si="40"/>
        <v>0.67198826675022827</v>
      </c>
      <c r="J355" s="29">
        <v>21.26</v>
      </c>
      <c r="N355" s="130"/>
    </row>
    <row r="356" spans="1:14" x14ac:dyDescent="0.25">
      <c r="A356" s="70" t="s">
        <v>25</v>
      </c>
      <c r="B356" s="71">
        <f>+B355</f>
        <v>1131</v>
      </c>
      <c r="C356" s="72">
        <f>+C355</f>
        <v>134836983</v>
      </c>
      <c r="D356" s="72">
        <f t="shared" ref="D356:E356" si="41">SUM(D344:D355)</f>
        <v>14618389.942</v>
      </c>
      <c r="E356" s="72">
        <f t="shared" si="41"/>
        <v>0</v>
      </c>
      <c r="F356" s="73">
        <f>SUM(F344:F355)</f>
        <v>184107.13</v>
      </c>
      <c r="G356" s="72">
        <f t="shared" ref="G356:I356" si="42">SUM(G344:G355)</f>
        <v>4714217.5224859994</v>
      </c>
      <c r="H356" s="72">
        <f t="shared" si="42"/>
        <v>16</v>
      </c>
      <c r="I356" s="74">
        <f t="shared" si="42"/>
        <v>10.216025371389334</v>
      </c>
      <c r="J356" s="75">
        <f>+J355</f>
        <v>21.26</v>
      </c>
      <c r="N356" s="130"/>
    </row>
    <row r="357" spans="1:14" x14ac:dyDescent="0.25">
      <c r="A357" s="51"/>
      <c r="B357" s="17"/>
      <c r="C357" s="78"/>
      <c r="D357" s="79"/>
      <c r="E357" s="80"/>
      <c r="F357" s="81"/>
      <c r="G357" s="78"/>
      <c r="H357" s="82"/>
      <c r="I357" s="28"/>
      <c r="J357" s="18"/>
      <c r="L357" s="1"/>
      <c r="N357" s="130"/>
    </row>
    <row r="358" spans="1:14" x14ac:dyDescent="0.25">
      <c r="A358" s="51"/>
      <c r="C358" s="83"/>
      <c r="H358" s="84"/>
      <c r="L358" s="1"/>
      <c r="N358" s="130"/>
    </row>
    <row r="359" spans="1:14" ht="12.75" customHeight="1" x14ac:dyDescent="0.25">
      <c r="A359" s="85" t="s">
        <v>27</v>
      </c>
      <c r="B359" s="86"/>
      <c r="C359" s="86"/>
      <c r="D359" s="86"/>
      <c r="E359" s="86"/>
      <c r="F359" s="87"/>
      <c r="G359" s="77"/>
      <c r="H359" s="77"/>
      <c r="I359" s="88"/>
      <c r="L359" s="1"/>
      <c r="N359" s="97"/>
    </row>
    <row r="360" spans="1:14" ht="12.75" customHeight="1" x14ac:dyDescent="0.25">
      <c r="A360" s="103" t="s">
        <v>28</v>
      </c>
      <c r="B360" s="104"/>
      <c r="C360" s="104"/>
      <c r="D360" s="104"/>
      <c r="E360" s="104"/>
      <c r="F360" s="105"/>
      <c r="G360" s="77"/>
      <c r="H360" s="77"/>
      <c r="I360" s="88"/>
      <c r="L360" s="1"/>
      <c r="N360" s="97"/>
    </row>
    <row r="361" spans="1:14" x14ac:dyDescent="0.25">
      <c r="A361" s="106" t="s">
        <v>29</v>
      </c>
      <c r="B361" s="107"/>
      <c r="C361" s="107"/>
      <c r="D361" s="107"/>
      <c r="E361" s="107"/>
      <c r="F361" s="108"/>
      <c r="G361" s="89"/>
      <c r="H361" s="89"/>
      <c r="I361" s="90"/>
      <c r="L361" s="1"/>
      <c r="N361" s="97"/>
    </row>
    <row r="362" spans="1:14" x14ac:dyDescent="0.25">
      <c r="A362" s="109" t="s">
        <v>30</v>
      </c>
      <c r="B362" s="110"/>
      <c r="C362" s="110"/>
      <c r="D362" s="110"/>
      <c r="E362" s="110"/>
      <c r="F362" s="111"/>
      <c r="G362" s="91"/>
      <c r="H362" s="89"/>
      <c r="I362" s="90"/>
      <c r="L362" s="1"/>
      <c r="N362" s="97"/>
    </row>
    <row r="363" spans="1:14" x14ac:dyDescent="0.25">
      <c r="A363" s="112" t="s">
        <v>31</v>
      </c>
      <c r="B363" s="113"/>
      <c r="C363" s="113"/>
      <c r="D363" s="113"/>
      <c r="E363" s="113"/>
      <c r="F363" s="114"/>
      <c r="G363" s="77"/>
      <c r="H363" s="77"/>
      <c r="I363" s="88"/>
      <c r="L363" s="1"/>
      <c r="N363" s="97"/>
    </row>
    <row r="364" spans="1:14" x14ac:dyDescent="0.25">
      <c r="A364" s="115" t="s">
        <v>32</v>
      </c>
      <c r="B364" s="104"/>
      <c r="C364" s="104"/>
      <c r="D364" s="104"/>
      <c r="E364" s="104"/>
      <c r="F364" s="105"/>
      <c r="G364" s="77"/>
      <c r="H364" s="77"/>
      <c r="I364" s="88"/>
      <c r="L364" s="1"/>
      <c r="N364" s="97"/>
    </row>
    <row r="365" spans="1:14" x14ac:dyDescent="0.25">
      <c r="A365" s="123" t="s">
        <v>33</v>
      </c>
      <c r="B365" s="113"/>
      <c r="C365" s="113"/>
      <c r="D365" s="113"/>
      <c r="E365" s="113"/>
      <c r="F365" s="114"/>
      <c r="G365" s="77"/>
      <c r="H365" s="77"/>
      <c r="I365" s="88"/>
      <c r="L365" s="1"/>
      <c r="N365" s="97"/>
    </row>
    <row r="366" spans="1:14" x14ac:dyDescent="0.25">
      <c r="A366" s="103" t="s">
        <v>34</v>
      </c>
      <c r="B366" s="104"/>
      <c r="C366" s="104"/>
      <c r="D366" s="104"/>
      <c r="E366" s="104"/>
      <c r="F366" s="105"/>
      <c r="G366" s="77"/>
      <c r="H366" s="77"/>
      <c r="I366" s="88"/>
      <c r="L366" s="1"/>
      <c r="N366" s="97"/>
    </row>
    <row r="367" spans="1:14" x14ac:dyDescent="0.25">
      <c r="A367" s="112" t="s">
        <v>35</v>
      </c>
      <c r="B367" s="113"/>
      <c r="C367" s="113"/>
      <c r="D367" s="113"/>
      <c r="E367" s="113"/>
      <c r="F367" s="114"/>
      <c r="G367" s="77"/>
      <c r="H367" s="77"/>
      <c r="I367" s="88"/>
      <c r="L367" s="1"/>
      <c r="N367" s="97"/>
    </row>
    <row r="368" spans="1:14" x14ac:dyDescent="0.25">
      <c r="A368" s="115" t="s">
        <v>36</v>
      </c>
      <c r="B368" s="104"/>
      <c r="C368" s="104"/>
      <c r="D368" s="104"/>
      <c r="E368" s="104"/>
      <c r="F368" s="105"/>
      <c r="G368" s="77"/>
      <c r="H368" s="77"/>
      <c r="I368" s="88"/>
      <c r="L368" s="1"/>
      <c r="N368" s="97"/>
    </row>
    <row r="369" spans="1:14" x14ac:dyDescent="0.25">
      <c r="A369" s="124" t="s">
        <v>37</v>
      </c>
      <c r="B369" s="125"/>
      <c r="C369" s="125"/>
      <c r="D369" s="125"/>
      <c r="E369" s="125"/>
      <c r="F369" s="125"/>
      <c r="G369" s="125"/>
      <c r="H369" s="125"/>
      <c r="I369" s="126"/>
      <c r="L369" s="1"/>
    </row>
    <row r="370" spans="1:14" x14ac:dyDescent="0.25">
      <c r="A370" s="127"/>
      <c r="B370" s="128"/>
      <c r="C370" s="128"/>
      <c r="D370" s="128"/>
      <c r="E370" s="128"/>
      <c r="F370" s="128"/>
      <c r="G370" s="128"/>
      <c r="H370" s="128"/>
      <c r="I370" s="129"/>
      <c r="L370" s="1"/>
      <c r="N370" s="97"/>
    </row>
    <row r="371" spans="1:14" x14ac:dyDescent="0.25">
      <c r="A371" s="116" t="s">
        <v>38</v>
      </c>
      <c r="B371" s="117"/>
      <c r="C371" s="117"/>
      <c r="D371" s="117"/>
      <c r="E371" s="117"/>
      <c r="F371" s="117"/>
      <c r="G371" s="117"/>
      <c r="H371" s="117"/>
      <c r="I371" s="118"/>
      <c r="L371" s="1"/>
      <c r="N371" s="131"/>
    </row>
    <row r="372" spans="1:14" x14ac:dyDescent="0.25">
      <c r="A372" s="119"/>
      <c r="B372" s="120"/>
      <c r="C372" s="120"/>
      <c r="D372" s="120"/>
      <c r="E372" s="120"/>
      <c r="F372" s="120"/>
      <c r="G372" s="120"/>
      <c r="H372" s="120"/>
      <c r="I372" s="121"/>
      <c r="L372" s="1"/>
    </row>
    <row r="373" spans="1:14" x14ac:dyDescent="0.25">
      <c r="A373" s="124" t="s">
        <v>40</v>
      </c>
      <c r="B373" s="125"/>
      <c r="C373" s="125"/>
      <c r="D373" s="125"/>
      <c r="E373" s="125"/>
      <c r="F373" s="125"/>
      <c r="G373" s="125"/>
      <c r="H373" s="125"/>
      <c r="I373" s="126"/>
      <c r="L373" s="1"/>
    </row>
    <row r="374" spans="1:14" x14ac:dyDescent="0.25">
      <c r="A374" s="127"/>
      <c r="B374" s="128"/>
      <c r="C374" s="128"/>
      <c r="D374" s="128"/>
      <c r="E374" s="128"/>
      <c r="F374" s="128"/>
      <c r="G374" s="128"/>
      <c r="H374" s="128"/>
      <c r="I374" s="129"/>
      <c r="L374" s="1"/>
    </row>
    <row r="375" spans="1:14" x14ac:dyDescent="0.25">
      <c r="A375" s="116" t="s">
        <v>41</v>
      </c>
      <c r="B375" s="117"/>
      <c r="C375" s="117"/>
      <c r="D375" s="117"/>
      <c r="E375" s="117"/>
      <c r="F375" s="117"/>
      <c r="G375" s="117"/>
      <c r="H375" s="117"/>
      <c r="I375" s="118"/>
      <c r="L375" s="1"/>
    </row>
    <row r="376" spans="1:14" x14ac:dyDescent="0.25">
      <c r="A376" s="119"/>
      <c r="B376" s="120"/>
      <c r="C376" s="120"/>
      <c r="D376" s="120"/>
      <c r="E376" s="120"/>
      <c r="F376" s="120"/>
      <c r="G376" s="120"/>
      <c r="H376" s="120"/>
      <c r="I376" s="121"/>
      <c r="L376" s="93"/>
    </row>
    <row r="377" spans="1:14" x14ac:dyDescent="0.25">
      <c r="A377" s="106" t="s">
        <v>39</v>
      </c>
      <c r="B377" s="107"/>
      <c r="C377" s="107"/>
      <c r="D377" s="107"/>
      <c r="E377" s="107"/>
      <c r="F377" s="107"/>
      <c r="G377" s="107"/>
      <c r="H377" s="107"/>
      <c r="I377" s="108"/>
      <c r="L377" s="92"/>
    </row>
    <row r="378" spans="1:14" x14ac:dyDescent="0.25">
      <c r="A378" s="122"/>
      <c r="B378" s="110"/>
      <c r="C378" s="110"/>
      <c r="D378" s="110"/>
      <c r="E378" s="110"/>
      <c r="F378" s="110"/>
      <c r="G378" s="110"/>
      <c r="H378" s="110"/>
      <c r="I378" s="111"/>
      <c r="L378" s="93"/>
    </row>
    <row r="379" spans="1:14" x14ac:dyDescent="0.25">
      <c r="L379" s="94"/>
    </row>
    <row r="380" spans="1:14" x14ac:dyDescent="0.25">
      <c r="L380" s="92"/>
    </row>
    <row r="381" spans="1:14" x14ac:dyDescent="0.25">
      <c r="L381" s="93"/>
    </row>
    <row r="382" spans="1:14" x14ac:dyDescent="0.25">
      <c r="L382" s="92"/>
    </row>
    <row r="383" spans="1:14" x14ac:dyDescent="0.25">
      <c r="L383" s="93"/>
    </row>
    <row r="384" spans="1:14" x14ac:dyDescent="0.25">
      <c r="L384" s="94"/>
    </row>
    <row r="385" spans="12:12" x14ac:dyDescent="0.25">
      <c r="L385" s="92"/>
    </row>
    <row r="386" spans="12:12" x14ac:dyDescent="0.25">
      <c r="L386" s="93"/>
    </row>
    <row r="387" spans="12:12" x14ac:dyDescent="0.25">
      <c r="L387" s="92"/>
    </row>
    <row r="388" spans="12:12" x14ac:dyDescent="0.25">
      <c r="L388" s="93"/>
    </row>
    <row r="389" spans="12:12" x14ac:dyDescent="0.25">
      <c r="L389" s="94"/>
    </row>
    <row r="390" spans="12:12" x14ac:dyDescent="0.25">
      <c r="L390" s="92"/>
    </row>
    <row r="391" spans="12:12" x14ac:dyDescent="0.25">
      <c r="L391" s="93"/>
    </row>
    <row r="392" spans="12:12" x14ac:dyDescent="0.25">
      <c r="L392" s="95"/>
    </row>
    <row r="393" spans="12:12" x14ac:dyDescent="0.25">
      <c r="L393" s="93"/>
    </row>
    <row r="394" spans="12:12" x14ac:dyDescent="0.25">
      <c r="L394" s="94"/>
    </row>
    <row r="395" spans="12:12" x14ac:dyDescent="0.25">
      <c r="L395" s="92"/>
    </row>
    <row r="396" spans="12:12" x14ac:dyDescent="0.25">
      <c r="L396" s="93"/>
    </row>
    <row r="397" spans="12:12" x14ac:dyDescent="0.25">
      <c r="L397" s="92"/>
    </row>
    <row r="398" spans="12:12" x14ac:dyDescent="0.25">
      <c r="L398" s="93"/>
    </row>
    <row r="399" spans="12:12" x14ac:dyDescent="0.25">
      <c r="L399" s="94"/>
    </row>
    <row r="400" spans="12:12" x14ac:dyDescent="0.25">
      <c r="L400" s="92"/>
    </row>
    <row r="401" spans="12:12" x14ac:dyDescent="0.25">
      <c r="L401" s="93"/>
    </row>
    <row r="402" spans="12:12" x14ac:dyDescent="0.25">
      <c r="L402" s="92"/>
    </row>
    <row r="403" spans="12:12" x14ac:dyDescent="0.25">
      <c r="L403" s="93"/>
    </row>
    <row r="404" spans="12:12" x14ac:dyDescent="0.25">
      <c r="L404" s="94"/>
    </row>
    <row r="405" spans="12:12" x14ac:dyDescent="0.25">
      <c r="L405" s="92"/>
    </row>
    <row r="406" spans="12:12" x14ac:dyDescent="0.25">
      <c r="L406" s="93"/>
    </row>
    <row r="407" spans="12:12" x14ac:dyDescent="0.25">
      <c r="L407" s="92"/>
    </row>
    <row r="408" spans="12:12" x14ac:dyDescent="0.25">
      <c r="L408" s="93"/>
    </row>
    <row r="409" spans="12:12" x14ac:dyDescent="0.25">
      <c r="L409" s="94"/>
    </row>
    <row r="410" spans="12:12" x14ac:dyDescent="0.25">
      <c r="L410" s="92"/>
    </row>
    <row r="411" spans="12:12" x14ac:dyDescent="0.25">
      <c r="L411" s="93"/>
    </row>
    <row r="412" spans="12:12" x14ac:dyDescent="0.25">
      <c r="L412" s="92"/>
    </row>
    <row r="413" spans="12:12" x14ac:dyDescent="0.25">
      <c r="L413" s="93"/>
    </row>
    <row r="414" spans="12:12" x14ac:dyDescent="0.25">
      <c r="L414" s="94"/>
    </row>
    <row r="415" spans="12:12" x14ac:dyDescent="0.25">
      <c r="L415" s="92"/>
    </row>
    <row r="416" spans="12:12" x14ac:dyDescent="0.25">
      <c r="L416" s="93"/>
    </row>
    <row r="417" spans="12:12" x14ac:dyDescent="0.25">
      <c r="L417" s="92"/>
    </row>
    <row r="418" spans="12:12" x14ac:dyDescent="0.25">
      <c r="L418" s="93"/>
    </row>
    <row r="419" spans="12:12" x14ac:dyDescent="0.25">
      <c r="L419" s="94"/>
    </row>
    <row r="420" spans="12:12" x14ac:dyDescent="0.25">
      <c r="L420" s="92"/>
    </row>
    <row r="421" spans="12:12" x14ac:dyDescent="0.25">
      <c r="L421" s="93"/>
    </row>
    <row r="422" spans="12:12" x14ac:dyDescent="0.25">
      <c r="L422" s="92"/>
    </row>
    <row r="423" spans="12:12" x14ac:dyDescent="0.25">
      <c r="L423" s="93"/>
    </row>
    <row r="424" spans="12:12" x14ac:dyDescent="0.25">
      <c r="L424" s="94"/>
    </row>
    <row r="425" spans="12:12" x14ac:dyDescent="0.25">
      <c r="L425" s="92"/>
    </row>
    <row r="426" spans="12:12" x14ac:dyDescent="0.25">
      <c r="L426" s="93"/>
    </row>
    <row r="427" spans="12:12" x14ac:dyDescent="0.25">
      <c r="L427" s="92"/>
    </row>
    <row r="428" spans="12:12" x14ac:dyDescent="0.25">
      <c r="L428" s="93"/>
    </row>
    <row r="429" spans="12:12" x14ac:dyDescent="0.25">
      <c r="L429" s="94"/>
    </row>
    <row r="430" spans="12:12" x14ac:dyDescent="0.25">
      <c r="L430" s="92"/>
    </row>
    <row r="431" spans="12:12" x14ac:dyDescent="0.25">
      <c r="L431" s="93"/>
    </row>
    <row r="432" spans="12:12" x14ac:dyDescent="0.25">
      <c r="L432" s="92"/>
    </row>
    <row r="433" spans="12:12" x14ac:dyDescent="0.25">
      <c r="L433" s="93"/>
    </row>
    <row r="434" spans="12:12" x14ac:dyDescent="0.25">
      <c r="L434" s="94"/>
    </row>
    <row r="435" spans="12:12" x14ac:dyDescent="0.25">
      <c r="L435" s="92"/>
    </row>
    <row r="436" spans="12:12" x14ac:dyDescent="0.25">
      <c r="L436" s="93"/>
    </row>
    <row r="437" spans="12:12" x14ac:dyDescent="0.25">
      <c r="L437" s="92"/>
    </row>
    <row r="438" spans="12:12" x14ac:dyDescent="0.25">
      <c r="L438" s="93"/>
    </row>
    <row r="439" spans="12:12" x14ac:dyDescent="0.25">
      <c r="L439" s="94"/>
    </row>
    <row r="440" spans="12:12" x14ac:dyDescent="0.25">
      <c r="L440" s="92"/>
    </row>
    <row r="441" spans="12:12" x14ac:dyDescent="0.25">
      <c r="L441" s="93"/>
    </row>
    <row r="442" spans="12:12" x14ac:dyDescent="0.25">
      <c r="L442" s="92"/>
    </row>
    <row r="443" spans="12:12" x14ac:dyDescent="0.25">
      <c r="L443" s="93"/>
    </row>
    <row r="444" spans="12:12" x14ac:dyDescent="0.25">
      <c r="L444" s="94"/>
    </row>
    <row r="445" spans="12:12" x14ac:dyDescent="0.25">
      <c r="L445" s="92"/>
    </row>
    <row r="446" spans="12:12" x14ac:dyDescent="0.25">
      <c r="L446" s="93"/>
    </row>
    <row r="447" spans="12:12" x14ac:dyDescent="0.25">
      <c r="L447" s="92"/>
    </row>
    <row r="448" spans="12:12" x14ac:dyDescent="0.25">
      <c r="L448" s="93"/>
    </row>
    <row r="449" spans="12:12" x14ac:dyDescent="0.25">
      <c r="L449" s="94"/>
    </row>
    <row r="450" spans="12:12" x14ac:dyDescent="0.25">
      <c r="L450" s="92"/>
    </row>
    <row r="451" spans="12:12" x14ac:dyDescent="0.25">
      <c r="L451" s="93"/>
    </row>
    <row r="452" spans="12:12" x14ac:dyDescent="0.25">
      <c r="L452" s="92"/>
    </row>
    <row r="453" spans="12:12" x14ac:dyDescent="0.25">
      <c r="L453" s="93"/>
    </row>
    <row r="454" spans="12:12" x14ac:dyDescent="0.25">
      <c r="L454" s="94"/>
    </row>
    <row r="455" spans="12:12" x14ac:dyDescent="0.25">
      <c r="L455" s="92"/>
    </row>
    <row r="456" spans="12:12" x14ac:dyDescent="0.25">
      <c r="L456" s="93"/>
    </row>
    <row r="457" spans="12:12" x14ac:dyDescent="0.25">
      <c r="L457" s="92"/>
    </row>
    <row r="458" spans="12:12" x14ac:dyDescent="0.25">
      <c r="L458" s="93"/>
    </row>
    <row r="459" spans="12:12" x14ac:dyDescent="0.25">
      <c r="L459" s="94"/>
    </row>
    <row r="460" spans="12:12" x14ac:dyDescent="0.25">
      <c r="L460" s="92"/>
    </row>
    <row r="461" spans="12:12" x14ac:dyDescent="0.25">
      <c r="L461" s="93"/>
    </row>
    <row r="462" spans="12:12" x14ac:dyDescent="0.25">
      <c r="L462" s="92"/>
    </row>
    <row r="463" spans="12:12" x14ac:dyDescent="0.25">
      <c r="L463" s="93"/>
    </row>
    <row r="464" spans="12:12" x14ac:dyDescent="0.25">
      <c r="L464" s="94"/>
    </row>
    <row r="465" spans="12:12" x14ac:dyDescent="0.25">
      <c r="L465" s="92"/>
    </row>
    <row r="466" spans="12:12" x14ac:dyDescent="0.25">
      <c r="L466" s="93"/>
    </row>
    <row r="467" spans="12:12" x14ac:dyDescent="0.25">
      <c r="L467" s="92"/>
    </row>
    <row r="468" spans="12:12" x14ac:dyDescent="0.25">
      <c r="L468" s="93"/>
    </row>
    <row r="469" spans="12:12" x14ac:dyDescent="0.25">
      <c r="L469" s="94"/>
    </row>
    <row r="470" spans="12:12" x14ac:dyDescent="0.25">
      <c r="L470" s="92"/>
    </row>
    <row r="471" spans="12:12" x14ac:dyDescent="0.25">
      <c r="L471" s="93"/>
    </row>
    <row r="472" spans="12:12" x14ac:dyDescent="0.25">
      <c r="L472" s="92"/>
    </row>
    <row r="473" spans="12:12" x14ac:dyDescent="0.25">
      <c r="L473" s="93"/>
    </row>
    <row r="474" spans="12:12" x14ac:dyDescent="0.25">
      <c r="L474" s="94"/>
    </row>
    <row r="475" spans="12:12" x14ac:dyDescent="0.25">
      <c r="L475" s="92"/>
    </row>
    <row r="476" spans="12:12" x14ac:dyDescent="0.25">
      <c r="L476" s="93"/>
    </row>
    <row r="477" spans="12:12" x14ac:dyDescent="0.25">
      <c r="L477" s="92"/>
    </row>
    <row r="478" spans="12:12" x14ac:dyDescent="0.25">
      <c r="L478" s="93"/>
    </row>
    <row r="479" spans="12:12" x14ac:dyDescent="0.25">
      <c r="L479" s="94"/>
    </row>
    <row r="480" spans="12:12" x14ac:dyDescent="0.25">
      <c r="L480" s="92"/>
    </row>
    <row r="481" spans="12:13" x14ac:dyDescent="0.25">
      <c r="L481" s="93"/>
    </row>
    <row r="482" spans="12:13" x14ac:dyDescent="0.25">
      <c r="L482" s="92"/>
    </row>
    <row r="483" spans="12:13" x14ac:dyDescent="0.25">
      <c r="L483" s="93"/>
    </row>
    <row r="484" spans="12:13" x14ac:dyDescent="0.25">
      <c r="L484" s="93"/>
      <c r="M484" s="4">
        <v>5</v>
      </c>
    </row>
    <row r="485" spans="12:13" x14ac:dyDescent="0.25">
      <c r="L485" s="94"/>
    </row>
    <row r="486" spans="12:13" x14ac:dyDescent="0.25">
      <c r="L486" s="92"/>
    </row>
    <row r="487" spans="12:13" x14ac:dyDescent="0.25">
      <c r="L487" s="93"/>
    </row>
    <row r="488" spans="12:13" x14ac:dyDescent="0.25">
      <c r="L488" s="92"/>
    </row>
    <row r="489" spans="12:13" x14ac:dyDescent="0.25">
      <c r="L489" s="93"/>
    </row>
    <row r="490" spans="12:13" x14ac:dyDescent="0.25">
      <c r="L490" s="94"/>
    </row>
    <row r="491" spans="12:13" x14ac:dyDescent="0.25">
      <c r="L491" s="92"/>
    </row>
    <row r="492" spans="12:13" x14ac:dyDescent="0.25">
      <c r="L492" s="93"/>
    </row>
    <row r="493" spans="12:13" x14ac:dyDescent="0.25">
      <c r="L493" s="92"/>
    </row>
    <row r="494" spans="12:13" x14ac:dyDescent="0.25">
      <c r="L494" s="93"/>
    </row>
    <row r="495" spans="12:13" x14ac:dyDescent="0.25">
      <c r="L495" s="94"/>
    </row>
    <row r="496" spans="12:13" x14ac:dyDescent="0.25">
      <c r="L496" s="92"/>
    </row>
    <row r="497" spans="12:12" x14ac:dyDescent="0.25">
      <c r="L497" s="93"/>
    </row>
    <row r="498" spans="12:12" x14ac:dyDescent="0.25">
      <c r="L498" s="92"/>
    </row>
    <row r="499" spans="12:12" x14ac:dyDescent="0.25">
      <c r="L499" s="93"/>
    </row>
    <row r="500" spans="12:12" x14ac:dyDescent="0.25">
      <c r="L500" s="94"/>
    </row>
    <row r="501" spans="12:12" x14ac:dyDescent="0.25">
      <c r="L501" s="92"/>
    </row>
    <row r="502" spans="12:12" x14ac:dyDescent="0.25">
      <c r="L502" s="93"/>
    </row>
    <row r="503" spans="12:12" x14ac:dyDescent="0.25">
      <c r="L503" s="92"/>
    </row>
    <row r="504" spans="12:12" x14ac:dyDescent="0.25">
      <c r="L504" s="93"/>
    </row>
    <row r="505" spans="12:12" x14ac:dyDescent="0.25">
      <c r="L505" s="94"/>
    </row>
    <row r="506" spans="12:12" x14ac:dyDescent="0.25">
      <c r="L506" s="92"/>
    </row>
    <row r="507" spans="12:12" x14ac:dyDescent="0.25">
      <c r="L507" s="93"/>
    </row>
    <row r="508" spans="12:12" x14ac:dyDescent="0.25">
      <c r="L508" s="92"/>
    </row>
    <row r="509" spans="12:12" x14ac:dyDescent="0.25">
      <c r="L509" s="93"/>
    </row>
    <row r="510" spans="12:12" x14ac:dyDescent="0.25">
      <c r="L510" s="94"/>
    </row>
    <row r="511" spans="12:12" x14ac:dyDescent="0.25">
      <c r="L511" s="92"/>
    </row>
    <row r="512" spans="12:12" x14ac:dyDescent="0.25">
      <c r="L512" s="93"/>
    </row>
    <row r="513" spans="12:12" x14ac:dyDescent="0.25">
      <c r="L513" s="92"/>
    </row>
    <row r="514" spans="12:12" x14ac:dyDescent="0.25">
      <c r="L514" s="93"/>
    </row>
    <row r="515" spans="12:12" x14ac:dyDescent="0.25">
      <c r="L515" s="94"/>
    </row>
    <row r="516" spans="12:12" x14ac:dyDescent="0.25">
      <c r="L516" s="92"/>
    </row>
    <row r="517" spans="12:12" x14ac:dyDescent="0.25">
      <c r="L517" s="93"/>
    </row>
    <row r="518" spans="12:12" x14ac:dyDescent="0.25">
      <c r="L518" s="92"/>
    </row>
    <row r="519" spans="12:12" x14ac:dyDescent="0.25">
      <c r="L519" s="93"/>
    </row>
    <row r="520" spans="12:12" x14ac:dyDescent="0.25">
      <c r="L520" s="94"/>
    </row>
    <row r="521" spans="12:12" x14ac:dyDescent="0.25">
      <c r="L521" s="92"/>
    </row>
    <row r="522" spans="12:12" x14ac:dyDescent="0.25">
      <c r="L522" s="93"/>
    </row>
    <row r="523" spans="12:12" x14ac:dyDescent="0.25">
      <c r="L523" s="92"/>
    </row>
    <row r="524" spans="12:12" x14ac:dyDescent="0.25">
      <c r="L524" s="93"/>
    </row>
    <row r="525" spans="12:12" x14ac:dyDescent="0.25">
      <c r="L525" s="94"/>
    </row>
    <row r="526" spans="12:12" x14ac:dyDescent="0.25">
      <c r="L526" s="92"/>
    </row>
    <row r="527" spans="12:12" x14ac:dyDescent="0.25">
      <c r="L527" s="93"/>
    </row>
    <row r="528" spans="12:12" x14ac:dyDescent="0.25">
      <c r="L528" s="92"/>
    </row>
    <row r="529" spans="12:12" x14ac:dyDescent="0.25">
      <c r="L529" s="93"/>
    </row>
    <row r="530" spans="12:12" x14ac:dyDescent="0.25">
      <c r="L530" s="94"/>
    </row>
    <row r="531" spans="12:12" x14ac:dyDescent="0.25">
      <c r="L531" s="92"/>
    </row>
    <row r="532" spans="12:12" x14ac:dyDescent="0.25">
      <c r="L532" s="93"/>
    </row>
    <row r="533" spans="12:12" x14ac:dyDescent="0.25">
      <c r="L533" s="92"/>
    </row>
    <row r="534" spans="12:12" x14ac:dyDescent="0.25">
      <c r="L534" s="93"/>
    </row>
    <row r="535" spans="12:12" x14ac:dyDescent="0.25">
      <c r="L535" s="94"/>
    </row>
    <row r="536" spans="12:12" x14ac:dyDescent="0.25">
      <c r="L536" s="92"/>
    </row>
    <row r="537" spans="12:12" x14ac:dyDescent="0.25">
      <c r="L537" s="93"/>
    </row>
    <row r="538" spans="12:12" x14ac:dyDescent="0.25">
      <c r="L538" s="92"/>
    </row>
    <row r="539" spans="12:12" x14ac:dyDescent="0.25">
      <c r="L539" s="93"/>
    </row>
    <row r="540" spans="12:12" x14ac:dyDescent="0.25">
      <c r="L540" s="94"/>
    </row>
    <row r="541" spans="12:12" x14ac:dyDescent="0.25">
      <c r="L541" s="92"/>
    </row>
    <row r="542" spans="12:12" x14ac:dyDescent="0.25">
      <c r="L542" s="93"/>
    </row>
    <row r="543" spans="12:12" x14ac:dyDescent="0.25">
      <c r="L543" s="92"/>
    </row>
    <row r="544" spans="12:12" x14ac:dyDescent="0.25">
      <c r="L544" s="93"/>
    </row>
    <row r="545" spans="12:12" x14ac:dyDescent="0.25">
      <c r="L545" s="94"/>
    </row>
    <row r="546" spans="12:12" x14ac:dyDescent="0.25">
      <c r="L546" s="92"/>
    </row>
    <row r="547" spans="12:12" x14ac:dyDescent="0.25">
      <c r="L547" s="93"/>
    </row>
    <row r="548" spans="12:12" x14ac:dyDescent="0.25">
      <c r="L548" s="92"/>
    </row>
    <row r="549" spans="12:12" x14ac:dyDescent="0.25">
      <c r="L549" s="93"/>
    </row>
    <row r="550" spans="12:12" x14ac:dyDescent="0.25">
      <c r="L550" s="94"/>
    </row>
    <row r="551" spans="12:12" x14ac:dyDescent="0.25">
      <c r="L551" s="92"/>
    </row>
    <row r="552" spans="12:12" x14ac:dyDescent="0.25">
      <c r="L552" s="93"/>
    </row>
    <row r="553" spans="12:12" x14ac:dyDescent="0.25">
      <c r="L553" s="92"/>
    </row>
    <row r="554" spans="12:12" x14ac:dyDescent="0.25">
      <c r="L554" s="93"/>
    </row>
    <row r="555" spans="12:12" x14ac:dyDescent="0.25">
      <c r="L555" s="94"/>
    </row>
    <row r="556" spans="12:12" x14ac:dyDescent="0.25">
      <c r="L556" s="92"/>
    </row>
    <row r="557" spans="12:12" x14ac:dyDescent="0.25">
      <c r="L557" s="92"/>
    </row>
    <row r="558" spans="12:12" x14ac:dyDescent="0.25">
      <c r="L558" s="95"/>
    </row>
    <row r="559" spans="12:12" x14ac:dyDescent="0.25">
      <c r="L559" s="93"/>
    </row>
    <row r="560" spans="12:12" x14ac:dyDescent="0.25">
      <c r="L560" s="94"/>
    </row>
    <row r="561" spans="12:12" x14ac:dyDescent="0.25">
      <c r="L561" s="92"/>
    </row>
    <row r="562" spans="12:12" x14ac:dyDescent="0.25">
      <c r="L562" s="93"/>
    </row>
    <row r="563" spans="12:12" x14ac:dyDescent="0.25">
      <c r="L563" s="92"/>
    </row>
    <row r="564" spans="12:12" x14ac:dyDescent="0.25">
      <c r="L564" s="93"/>
    </row>
    <row r="565" spans="12:12" x14ac:dyDescent="0.25">
      <c r="L565" s="94"/>
    </row>
    <row r="566" spans="12:12" x14ac:dyDescent="0.25">
      <c r="L566" s="92"/>
    </row>
    <row r="567" spans="12:12" x14ac:dyDescent="0.25">
      <c r="L567" s="93"/>
    </row>
    <row r="568" spans="12:12" x14ac:dyDescent="0.25">
      <c r="L568" s="92"/>
    </row>
    <row r="569" spans="12:12" x14ac:dyDescent="0.25">
      <c r="L569" s="93"/>
    </row>
    <row r="570" spans="12:12" x14ac:dyDescent="0.25">
      <c r="L570" s="94"/>
    </row>
    <row r="571" spans="12:12" x14ac:dyDescent="0.25">
      <c r="L571" s="92"/>
    </row>
    <row r="572" spans="12:12" x14ac:dyDescent="0.25">
      <c r="L572" s="93"/>
    </row>
    <row r="573" spans="12:12" x14ac:dyDescent="0.25">
      <c r="L573" s="92"/>
    </row>
    <row r="574" spans="12:12" x14ac:dyDescent="0.25">
      <c r="L574" s="93"/>
    </row>
    <row r="575" spans="12:12" x14ac:dyDescent="0.25">
      <c r="L575" s="94"/>
    </row>
    <row r="576" spans="12:12" x14ac:dyDescent="0.25">
      <c r="L576" s="92"/>
    </row>
    <row r="577" spans="12:12" x14ac:dyDescent="0.25">
      <c r="L577" s="93"/>
    </row>
    <row r="578" spans="12:12" x14ac:dyDescent="0.25">
      <c r="L578" s="92"/>
    </row>
    <row r="579" spans="12:12" x14ac:dyDescent="0.25">
      <c r="L579" s="93"/>
    </row>
    <row r="580" spans="12:12" x14ac:dyDescent="0.25">
      <c r="L580" s="94"/>
    </row>
    <row r="581" spans="12:12" x14ac:dyDescent="0.25">
      <c r="L581" s="92"/>
    </row>
    <row r="582" spans="12:12" x14ac:dyDescent="0.25">
      <c r="L582" s="93"/>
    </row>
    <row r="583" spans="12:12" x14ac:dyDescent="0.25">
      <c r="L583" s="92"/>
    </row>
    <row r="584" spans="12:12" x14ac:dyDescent="0.25">
      <c r="L584" s="93"/>
    </row>
    <row r="585" spans="12:12" x14ac:dyDescent="0.25">
      <c r="L585" s="94"/>
    </row>
    <row r="586" spans="12:12" x14ac:dyDescent="0.25">
      <c r="L586" s="92"/>
    </row>
    <row r="587" spans="12:12" x14ac:dyDescent="0.25">
      <c r="L587" s="93"/>
    </row>
    <row r="588" spans="12:12" x14ac:dyDescent="0.25">
      <c r="L588" s="92"/>
    </row>
    <row r="589" spans="12:12" x14ac:dyDescent="0.25">
      <c r="L589" s="93"/>
    </row>
    <row r="590" spans="12:12" x14ac:dyDescent="0.25">
      <c r="L590" s="94"/>
    </row>
    <row r="591" spans="12:12" x14ac:dyDescent="0.25">
      <c r="L591" s="92"/>
    </row>
    <row r="592" spans="12:12" x14ac:dyDescent="0.25">
      <c r="L592" s="93"/>
    </row>
    <row r="593" spans="12:12" x14ac:dyDescent="0.25">
      <c r="L593" s="92"/>
    </row>
    <row r="594" spans="12:12" x14ac:dyDescent="0.25">
      <c r="L594" s="93"/>
    </row>
    <row r="595" spans="12:12" x14ac:dyDescent="0.25">
      <c r="L595" s="94"/>
    </row>
    <row r="596" spans="12:12" x14ac:dyDescent="0.25">
      <c r="L596" s="92"/>
    </row>
    <row r="597" spans="12:12" x14ac:dyDescent="0.25">
      <c r="L597" s="93"/>
    </row>
    <row r="598" spans="12:12" x14ac:dyDescent="0.25">
      <c r="L598" s="92"/>
    </row>
    <row r="599" spans="12:12" x14ac:dyDescent="0.25">
      <c r="L599" s="93"/>
    </row>
    <row r="600" spans="12:12" x14ac:dyDescent="0.25">
      <c r="L600" s="94"/>
    </row>
    <row r="601" spans="12:12" x14ac:dyDescent="0.25">
      <c r="L601" s="92"/>
    </row>
    <row r="602" spans="12:12" x14ac:dyDescent="0.25">
      <c r="L602" s="93"/>
    </row>
    <row r="603" spans="12:12" x14ac:dyDescent="0.25">
      <c r="L603" s="92"/>
    </row>
    <row r="604" spans="12:12" x14ac:dyDescent="0.25">
      <c r="L604" s="93"/>
    </row>
    <row r="605" spans="12:12" x14ac:dyDescent="0.25">
      <c r="L605" s="94"/>
    </row>
    <row r="606" spans="12:12" x14ac:dyDescent="0.25">
      <c r="L606" s="92"/>
    </row>
    <row r="607" spans="12:12" x14ac:dyDescent="0.25">
      <c r="L607" s="93"/>
    </row>
    <row r="608" spans="12:12" x14ac:dyDescent="0.25">
      <c r="L608" s="92"/>
    </row>
    <row r="609" spans="12:12" x14ac:dyDescent="0.25">
      <c r="L609" s="93"/>
    </row>
    <row r="610" spans="12:12" x14ac:dyDescent="0.25">
      <c r="L610" s="94"/>
    </row>
    <row r="611" spans="12:12" x14ac:dyDescent="0.25">
      <c r="L611" s="92"/>
    </row>
    <row r="612" spans="12:12" x14ac:dyDescent="0.25">
      <c r="L612" s="93"/>
    </row>
    <row r="613" spans="12:12" x14ac:dyDescent="0.25">
      <c r="L613" s="92"/>
    </row>
    <row r="614" spans="12:12" x14ac:dyDescent="0.25">
      <c r="L614" s="93"/>
    </row>
    <row r="615" spans="12:12" x14ac:dyDescent="0.25">
      <c r="L615" s="94"/>
    </row>
    <row r="616" spans="12:12" x14ac:dyDescent="0.25">
      <c r="L616" s="92"/>
    </row>
    <row r="617" spans="12:12" x14ac:dyDescent="0.25">
      <c r="L617" s="93"/>
    </row>
    <row r="618" spans="12:12" x14ac:dyDescent="0.25">
      <c r="L618" s="92"/>
    </row>
    <row r="619" spans="12:12" x14ac:dyDescent="0.25">
      <c r="L619" s="93"/>
    </row>
    <row r="620" spans="12:12" x14ac:dyDescent="0.25">
      <c r="L620" s="94"/>
    </row>
    <row r="621" spans="12:12" x14ac:dyDescent="0.25">
      <c r="L621" s="92"/>
    </row>
    <row r="622" spans="12:12" x14ac:dyDescent="0.25">
      <c r="L622" s="93"/>
    </row>
    <row r="623" spans="12:12" x14ac:dyDescent="0.25">
      <c r="L623" s="92"/>
    </row>
    <row r="624" spans="12:12" x14ac:dyDescent="0.25">
      <c r="L624" s="93"/>
    </row>
    <row r="625" spans="12:12" x14ac:dyDescent="0.25">
      <c r="L625" s="94"/>
    </row>
    <row r="626" spans="12:12" x14ac:dyDescent="0.25">
      <c r="L626" s="92"/>
    </row>
    <row r="627" spans="12:12" x14ac:dyDescent="0.25">
      <c r="L627" s="93"/>
    </row>
    <row r="628" spans="12:12" x14ac:dyDescent="0.25">
      <c r="L628" s="92"/>
    </row>
    <row r="629" spans="12:12" x14ac:dyDescent="0.25">
      <c r="L629" s="93"/>
    </row>
    <row r="630" spans="12:12" x14ac:dyDescent="0.25">
      <c r="L630" s="94"/>
    </row>
    <row r="631" spans="12:12" x14ac:dyDescent="0.25">
      <c r="L631" s="92"/>
    </row>
    <row r="632" spans="12:12" x14ac:dyDescent="0.25">
      <c r="L632" s="93"/>
    </row>
    <row r="633" spans="12:12" x14ac:dyDescent="0.25">
      <c r="L633" s="92"/>
    </row>
    <row r="634" spans="12:12" x14ac:dyDescent="0.25">
      <c r="L634" s="93"/>
    </row>
    <row r="635" spans="12:12" x14ac:dyDescent="0.25">
      <c r="L635" s="94"/>
    </row>
    <row r="636" spans="12:12" x14ac:dyDescent="0.25">
      <c r="L636" s="92"/>
    </row>
    <row r="637" spans="12:12" x14ac:dyDescent="0.25">
      <c r="L637" s="93"/>
    </row>
    <row r="638" spans="12:12" x14ac:dyDescent="0.25">
      <c r="L638" s="92"/>
    </row>
    <row r="639" spans="12:12" x14ac:dyDescent="0.25">
      <c r="L639" s="93"/>
    </row>
    <row r="640" spans="12:12" x14ac:dyDescent="0.25">
      <c r="L640" s="94"/>
    </row>
    <row r="641" spans="12:12" x14ac:dyDescent="0.25">
      <c r="L641" s="92"/>
    </row>
    <row r="642" spans="12:12" x14ac:dyDescent="0.25">
      <c r="L642" s="93"/>
    </row>
    <row r="643" spans="12:12" x14ac:dyDescent="0.25">
      <c r="L643" s="92"/>
    </row>
    <row r="644" spans="12:12" x14ac:dyDescent="0.25">
      <c r="L644" s="93"/>
    </row>
    <row r="645" spans="12:12" x14ac:dyDescent="0.25">
      <c r="L645" s="94"/>
    </row>
    <row r="646" spans="12:12" x14ac:dyDescent="0.25">
      <c r="L646" s="92"/>
    </row>
    <row r="647" spans="12:12" x14ac:dyDescent="0.25">
      <c r="L647" s="93"/>
    </row>
    <row r="648" spans="12:12" x14ac:dyDescent="0.25">
      <c r="L648" s="92"/>
    </row>
    <row r="649" spans="12:12" x14ac:dyDescent="0.25">
      <c r="L649" s="93"/>
    </row>
    <row r="650" spans="12:12" x14ac:dyDescent="0.25">
      <c r="L650" s="94"/>
    </row>
    <row r="651" spans="12:12" x14ac:dyDescent="0.25">
      <c r="L651" s="92"/>
    </row>
    <row r="652" spans="12:12" x14ac:dyDescent="0.25">
      <c r="L652" s="93"/>
    </row>
    <row r="653" spans="12:12" x14ac:dyDescent="0.25">
      <c r="L653" s="92"/>
    </row>
    <row r="654" spans="12:12" x14ac:dyDescent="0.25">
      <c r="L654" s="93"/>
    </row>
    <row r="655" spans="12:12" x14ac:dyDescent="0.25">
      <c r="L655" s="94"/>
    </row>
    <row r="656" spans="12:12" x14ac:dyDescent="0.25">
      <c r="L656" s="92"/>
    </row>
    <row r="657" spans="12:12" x14ac:dyDescent="0.25">
      <c r="L657" s="93"/>
    </row>
    <row r="658" spans="12:12" x14ac:dyDescent="0.25">
      <c r="L658" s="92"/>
    </row>
    <row r="659" spans="12:12" x14ac:dyDescent="0.25">
      <c r="L659" s="93"/>
    </row>
    <row r="660" spans="12:12" x14ac:dyDescent="0.25">
      <c r="L660" s="94"/>
    </row>
    <row r="661" spans="12:12" x14ac:dyDescent="0.25">
      <c r="L661" s="92"/>
    </row>
    <row r="662" spans="12:12" x14ac:dyDescent="0.25">
      <c r="L662" s="93"/>
    </row>
    <row r="663" spans="12:12" x14ac:dyDescent="0.25">
      <c r="L663" s="92"/>
    </row>
    <row r="664" spans="12:12" x14ac:dyDescent="0.25">
      <c r="L664" s="93"/>
    </row>
    <row r="665" spans="12:12" x14ac:dyDescent="0.25">
      <c r="L665" s="94"/>
    </row>
    <row r="666" spans="12:12" x14ac:dyDescent="0.25">
      <c r="L666" s="92"/>
    </row>
    <row r="667" spans="12:12" x14ac:dyDescent="0.25">
      <c r="L667" s="93"/>
    </row>
    <row r="668" spans="12:12" x14ac:dyDescent="0.25">
      <c r="L668" s="92"/>
    </row>
    <row r="669" spans="12:12" x14ac:dyDescent="0.25">
      <c r="L669" s="93"/>
    </row>
    <row r="670" spans="12:12" x14ac:dyDescent="0.25">
      <c r="L670" s="94"/>
    </row>
    <row r="671" spans="12:12" x14ac:dyDescent="0.25">
      <c r="L671" s="92"/>
    </row>
    <row r="672" spans="12:12" x14ac:dyDescent="0.25">
      <c r="L672" s="93"/>
    </row>
    <row r="673" spans="12:12" x14ac:dyDescent="0.25">
      <c r="L673" s="92"/>
    </row>
    <row r="674" spans="12:12" x14ac:dyDescent="0.25">
      <c r="L674" s="93"/>
    </row>
    <row r="675" spans="12:12" x14ac:dyDescent="0.25">
      <c r="L675" s="94"/>
    </row>
    <row r="676" spans="12:12" x14ac:dyDescent="0.25">
      <c r="L676" s="92"/>
    </row>
    <row r="677" spans="12:12" x14ac:dyDescent="0.25">
      <c r="L677" s="93"/>
    </row>
    <row r="678" spans="12:12" x14ac:dyDescent="0.25">
      <c r="L678" s="92"/>
    </row>
    <row r="679" spans="12:12" x14ac:dyDescent="0.25">
      <c r="L679" s="93"/>
    </row>
    <row r="680" spans="12:12" x14ac:dyDescent="0.25">
      <c r="L680" s="94"/>
    </row>
    <row r="681" spans="12:12" x14ac:dyDescent="0.25">
      <c r="L681" s="92"/>
    </row>
    <row r="682" spans="12:12" x14ac:dyDescent="0.25">
      <c r="L682" s="93"/>
    </row>
    <row r="683" spans="12:12" x14ac:dyDescent="0.25">
      <c r="L683" s="92"/>
    </row>
    <row r="684" spans="12:12" x14ac:dyDescent="0.25">
      <c r="L684" s="93"/>
    </row>
    <row r="685" spans="12:12" x14ac:dyDescent="0.25">
      <c r="L685" s="94"/>
    </row>
    <row r="686" spans="12:12" x14ac:dyDescent="0.25">
      <c r="L686" s="92"/>
    </row>
    <row r="687" spans="12:12" x14ac:dyDescent="0.25">
      <c r="L687" s="93"/>
    </row>
    <row r="688" spans="12:12" x14ac:dyDescent="0.25">
      <c r="L688" s="92"/>
    </row>
    <row r="689" spans="12:12" x14ac:dyDescent="0.25">
      <c r="L689" s="93"/>
    </row>
    <row r="690" spans="12:12" x14ac:dyDescent="0.25">
      <c r="L690" s="94"/>
    </row>
    <row r="691" spans="12:12" x14ac:dyDescent="0.25">
      <c r="L691" s="92"/>
    </row>
    <row r="692" spans="12:12" x14ac:dyDescent="0.25">
      <c r="L692" s="93"/>
    </row>
    <row r="693" spans="12:12" x14ac:dyDescent="0.25">
      <c r="L693" s="92"/>
    </row>
    <row r="694" spans="12:12" x14ac:dyDescent="0.25">
      <c r="L694" s="93"/>
    </row>
    <row r="695" spans="12:12" x14ac:dyDescent="0.25">
      <c r="L695" s="94"/>
    </row>
    <row r="696" spans="12:12" x14ac:dyDescent="0.25">
      <c r="L696" s="92"/>
    </row>
    <row r="697" spans="12:12" x14ac:dyDescent="0.25">
      <c r="L697" s="93"/>
    </row>
    <row r="698" spans="12:12" x14ac:dyDescent="0.25">
      <c r="L698" s="92"/>
    </row>
    <row r="699" spans="12:12" x14ac:dyDescent="0.25">
      <c r="L699" s="93"/>
    </row>
    <row r="700" spans="12:12" x14ac:dyDescent="0.25">
      <c r="L700" s="94"/>
    </row>
    <row r="701" spans="12:12" x14ac:dyDescent="0.25">
      <c r="L701" s="92"/>
    </row>
    <row r="702" spans="12:12" x14ac:dyDescent="0.25">
      <c r="L702" s="93"/>
    </row>
    <row r="703" spans="12:12" x14ac:dyDescent="0.25">
      <c r="L703" s="92"/>
    </row>
    <row r="704" spans="12:12" x14ac:dyDescent="0.25">
      <c r="L704" s="93"/>
    </row>
    <row r="705" spans="12:12" x14ac:dyDescent="0.25">
      <c r="L705" s="94"/>
    </row>
    <row r="706" spans="12:12" x14ac:dyDescent="0.25">
      <c r="L706" s="92"/>
    </row>
    <row r="707" spans="12:12" x14ac:dyDescent="0.25">
      <c r="L707" s="93"/>
    </row>
    <row r="708" spans="12:12" x14ac:dyDescent="0.25">
      <c r="L708" s="92"/>
    </row>
    <row r="709" spans="12:12" x14ac:dyDescent="0.25">
      <c r="L709" s="93"/>
    </row>
    <row r="710" spans="12:12" x14ac:dyDescent="0.25">
      <c r="L710" s="94"/>
    </row>
    <row r="711" spans="12:12" x14ac:dyDescent="0.25">
      <c r="L711" s="92"/>
    </row>
    <row r="712" spans="12:12" x14ac:dyDescent="0.25">
      <c r="L712" s="93"/>
    </row>
    <row r="713" spans="12:12" x14ac:dyDescent="0.25">
      <c r="L713" s="92"/>
    </row>
    <row r="714" spans="12:12" x14ac:dyDescent="0.25">
      <c r="L714" s="93"/>
    </row>
    <row r="715" spans="12:12" x14ac:dyDescent="0.25">
      <c r="L715" s="94"/>
    </row>
    <row r="716" spans="12:12" x14ac:dyDescent="0.25">
      <c r="L716" s="92"/>
    </row>
    <row r="717" spans="12:12" x14ac:dyDescent="0.25">
      <c r="L717" s="93"/>
    </row>
    <row r="718" spans="12:12" x14ac:dyDescent="0.25">
      <c r="L718" s="92"/>
    </row>
    <row r="719" spans="12:12" x14ac:dyDescent="0.25">
      <c r="L719" s="93"/>
    </row>
    <row r="720" spans="12:12" x14ac:dyDescent="0.25">
      <c r="L720" s="94"/>
    </row>
    <row r="721" spans="12:12" x14ac:dyDescent="0.25">
      <c r="L721" s="92"/>
    </row>
    <row r="722" spans="12:12" x14ac:dyDescent="0.25">
      <c r="L722" s="93"/>
    </row>
    <row r="723" spans="12:12" x14ac:dyDescent="0.25">
      <c r="L723" s="92"/>
    </row>
    <row r="724" spans="12:12" x14ac:dyDescent="0.25">
      <c r="L724" s="93"/>
    </row>
    <row r="725" spans="12:12" x14ac:dyDescent="0.25">
      <c r="L725" s="94"/>
    </row>
    <row r="726" spans="12:12" x14ac:dyDescent="0.25">
      <c r="L726" s="92"/>
    </row>
    <row r="727" spans="12:12" x14ac:dyDescent="0.25">
      <c r="L727" s="93"/>
    </row>
    <row r="728" spans="12:12" x14ac:dyDescent="0.25">
      <c r="L728" s="92"/>
    </row>
    <row r="729" spans="12:12" x14ac:dyDescent="0.25">
      <c r="L729" s="93"/>
    </row>
    <row r="730" spans="12:12" x14ac:dyDescent="0.25">
      <c r="L730" s="94"/>
    </row>
    <row r="731" spans="12:12" x14ac:dyDescent="0.25">
      <c r="L731" s="92"/>
    </row>
    <row r="732" spans="12:12" x14ac:dyDescent="0.25">
      <c r="L732" s="93"/>
    </row>
    <row r="733" spans="12:12" x14ac:dyDescent="0.25">
      <c r="L733" s="92"/>
    </row>
    <row r="734" spans="12:12" x14ac:dyDescent="0.25">
      <c r="L734" s="93"/>
    </row>
    <row r="735" spans="12:12" x14ac:dyDescent="0.25">
      <c r="L735" s="94"/>
    </row>
    <row r="736" spans="12:12" x14ac:dyDescent="0.25">
      <c r="L736" s="92"/>
    </row>
    <row r="737" spans="12:12" x14ac:dyDescent="0.25">
      <c r="L737" s="93"/>
    </row>
    <row r="738" spans="12:12" x14ac:dyDescent="0.25">
      <c r="L738" s="92"/>
    </row>
    <row r="739" spans="12:12" x14ac:dyDescent="0.25">
      <c r="L739" s="93"/>
    </row>
    <row r="740" spans="12:12" x14ac:dyDescent="0.25">
      <c r="L740" s="94"/>
    </row>
    <row r="741" spans="12:12" x14ac:dyDescent="0.25">
      <c r="L741" s="92"/>
    </row>
    <row r="742" spans="12:12" x14ac:dyDescent="0.25">
      <c r="L742" s="93"/>
    </row>
    <row r="743" spans="12:12" x14ac:dyDescent="0.25">
      <c r="L743" s="92"/>
    </row>
    <row r="744" spans="12:12" x14ac:dyDescent="0.25">
      <c r="L744" s="93"/>
    </row>
    <row r="745" spans="12:12" x14ac:dyDescent="0.25">
      <c r="L745" s="94"/>
    </row>
    <row r="746" spans="12:12" x14ac:dyDescent="0.25">
      <c r="L746" s="92"/>
    </row>
    <row r="747" spans="12:12" x14ac:dyDescent="0.25">
      <c r="L747" s="93"/>
    </row>
    <row r="748" spans="12:12" x14ac:dyDescent="0.25">
      <c r="L748" s="92"/>
    </row>
    <row r="749" spans="12:12" x14ac:dyDescent="0.25">
      <c r="L749" s="93"/>
    </row>
    <row r="750" spans="12:12" x14ac:dyDescent="0.25">
      <c r="L750" s="94"/>
    </row>
    <row r="751" spans="12:12" x14ac:dyDescent="0.25">
      <c r="L751" s="92"/>
    </row>
    <row r="752" spans="12:12" x14ac:dyDescent="0.25">
      <c r="L752" s="93"/>
    </row>
    <row r="753" spans="12:12" x14ac:dyDescent="0.25">
      <c r="L753" s="92"/>
    </row>
    <row r="754" spans="12:12" x14ac:dyDescent="0.25">
      <c r="L754" s="93"/>
    </row>
    <row r="755" spans="12:12" x14ac:dyDescent="0.25">
      <c r="L755" s="94"/>
    </row>
    <row r="756" spans="12:12" x14ac:dyDescent="0.25">
      <c r="L756" s="92"/>
    </row>
    <row r="757" spans="12:12" x14ac:dyDescent="0.25">
      <c r="L757" s="93"/>
    </row>
    <row r="758" spans="12:12" x14ac:dyDescent="0.25">
      <c r="L758" s="92"/>
    </row>
    <row r="759" spans="12:12" x14ac:dyDescent="0.25">
      <c r="L759" s="93"/>
    </row>
    <row r="760" spans="12:12" x14ac:dyDescent="0.25">
      <c r="L760" s="94"/>
    </row>
    <row r="761" spans="12:12" x14ac:dyDescent="0.25">
      <c r="L761" s="92"/>
    </row>
    <row r="762" spans="12:12" x14ac:dyDescent="0.25">
      <c r="L762" s="93"/>
    </row>
    <row r="763" spans="12:12" x14ac:dyDescent="0.25">
      <c r="L763" s="92"/>
    </row>
    <row r="764" spans="12:12" x14ac:dyDescent="0.25">
      <c r="L764" s="93"/>
    </row>
    <row r="765" spans="12:12" x14ac:dyDescent="0.25">
      <c r="L765" s="94"/>
    </row>
    <row r="766" spans="12:12" x14ac:dyDescent="0.25">
      <c r="L766" s="92"/>
    </row>
    <row r="767" spans="12:12" x14ac:dyDescent="0.25">
      <c r="L767" s="93"/>
    </row>
    <row r="768" spans="12:12" x14ac:dyDescent="0.25">
      <c r="L768" s="92"/>
    </row>
    <row r="769" spans="12:12" x14ac:dyDescent="0.25">
      <c r="L769" s="93"/>
    </row>
    <row r="770" spans="12:12" x14ac:dyDescent="0.25">
      <c r="L770" s="94"/>
    </row>
    <row r="771" spans="12:12" x14ac:dyDescent="0.25">
      <c r="L771" s="92"/>
    </row>
    <row r="772" spans="12:12" x14ac:dyDescent="0.25">
      <c r="L772" s="93"/>
    </row>
    <row r="773" spans="12:12" x14ac:dyDescent="0.25">
      <c r="L773" s="92"/>
    </row>
    <row r="774" spans="12:12" x14ac:dyDescent="0.25">
      <c r="L774" s="93"/>
    </row>
    <row r="775" spans="12:12" x14ac:dyDescent="0.25">
      <c r="L775" s="94"/>
    </row>
    <row r="776" spans="12:12" x14ac:dyDescent="0.25">
      <c r="L776" s="92"/>
    </row>
    <row r="777" spans="12:12" x14ac:dyDescent="0.25">
      <c r="L777" s="93"/>
    </row>
    <row r="778" spans="12:12" x14ac:dyDescent="0.25">
      <c r="L778" s="92"/>
    </row>
    <row r="779" spans="12:12" x14ac:dyDescent="0.25">
      <c r="L779" s="93"/>
    </row>
    <row r="780" spans="12:12" x14ac:dyDescent="0.25">
      <c r="L780" s="94"/>
    </row>
    <row r="781" spans="12:12" x14ac:dyDescent="0.25">
      <c r="L781" s="92"/>
    </row>
    <row r="782" spans="12:12" x14ac:dyDescent="0.25">
      <c r="L782" s="93"/>
    </row>
    <row r="783" spans="12:12" x14ac:dyDescent="0.25">
      <c r="L783" s="92"/>
    </row>
    <row r="784" spans="12:12" x14ac:dyDescent="0.25">
      <c r="L784" s="93"/>
    </row>
    <row r="785" spans="12:12" x14ac:dyDescent="0.25">
      <c r="L785" s="94"/>
    </row>
    <row r="786" spans="12:12" x14ac:dyDescent="0.25">
      <c r="L786" s="92"/>
    </row>
    <row r="787" spans="12:12" x14ac:dyDescent="0.25">
      <c r="L787" s="93"/>
    </row>
    <row r="788" spans="12:12" x14ac:dyDescent="0.25">
      <c r="L788" s="92"/>
    </row>
    <row r="789" spans="12:12" x14ac:dyDescent="0.25">
      <c r="L789" s="93"/>
    </row>
    <row r="790" spans="12:12" x14ac:dyDescent="0.25">
      <c r="L790" s="94"/>
    </row>
    <row r="791" spans="12:12" x14ac:dyDescent="0.25">
      <c r="L791" s="92"/>
    </row>
    <row r="792" spans="12:12" x14ac:dyDescent="0.25">
      <c r="L792" s="93"/>
    </row>
    <row r="793" spans="12:12" x14ac:dyDescent="0.25">
      <c r="L793" s="92"/>
    </row>
    <row r="794" spans="12:12" x14ac:dyDescent="0.25">
      <c r="L794" s="93"/>
    </row>
    <row r="795" spans="12:12" x14ac:dyDescent="0.25">
      <c r="L795" s="94"/>
    </row>
    <row r="796" spans="12:12" x14ac:dyDescent="0.25">
      <c r="L796" s="92"/>
    </row>
    <row r="797" spans="12:12" x14ac:dyDescent="0.25">
      <c r="L797" s="93"/>
    </row>
    <row r="798" spans="12:12" x14ac:dyDescent="0.25">
      <c r="L798" s="92"/>
    </row>
    <row r="799" spans="12:12" x14ac:dyDescent="0.25">
      <c r="L799" s="93"/>
    </row>
    <row r="800" spans="12:12" x14ac:dyDescent="0.25">
      <c r="L800" s="94"/>
    </row>
    <row r="801" spans="12:12" x14ac:dyDescent="0.25">
      <c r="L801" s="92"/>
    </row>
    <row r="802" spans="12:12" x14ac:dyDescent="0.25">
      <c r="L802" s="93"/>
    </row>
    <row r="803" spans="12:12" x14ac:dyDescent="0.25">
      <c r="L803" s="95"/>
    </row>
    <row r="804" spans="12:12" x14ac:dyDescent="0.25">
      <c r="L804" s="93"/>
    </row>
    <row r="805" spans="12:12" x14ac:dyDescent="0.25">
      <c r="L805" s="94"/>
    </row>
    <row r="806" spans="12:12" x14ac:dyDescent="0.25">
      <c r="L806" s="92"/>
    </row>
    <row r="807" spans="12:12" x14ac:dyDescent="0.25">
      <c r="L807" s="93"/>
    </row>
    <row r="808" spans="12:12" x14ac:dyDescent="0.25">
      <c r="L808" s="95"/>
    </row>
    <row r="809" spans="12:12" x14ac:dyDescent="0.25">
      <c r="L809" s="93"/>
    </row>
    <row r="810" spans="12:12" x14ac:dyDescent="0.25">
      <c r="L810" s="94"/>
    </row>
    <row r="811" spans="12:12" x14ac:dyDescent="0.25">
      <c r="L811" s="100"/>
    </row>
    <row r="812" spans="12:12" x14ac:dyDescent="0.25">
      <c r="L812" s="92"/>
    </row>
    <row r="813" spans="12:12" x14ac:dyDescent="0.25">
      <c r="L813" s="92"/>
    </row>
    <row r="814" spans="12:12" x14ac:dyDescent="0.25">
      <c r="L814" s="92"/>
    </row>
    <row r="815" spans="12:12" x14ac:dyDescent="0.25">
      <c r="L815" s="92"/>
    </row>
    <row r="816" spans="12:12" x14ac:dyDescent="0.25">
      <c r="L816" s="92"/>
    </row>
    <row r="817" spans="12:12" x14ac:dyDescent="0.25">
      <c r="L817" s="92"/>
    </row>
    <row r="818" spans="12:12" x14ac:dyDescent="0.25">
      <c r="L818" s="92"/>
    </row>
    <row r="819" spans="12:12" x14ac:dyDescent="0.25">
      <c r="L819" s="92"/>
    </row>
    <row r="820" spans="12:12" x14ac:dyDescent="0.25">
      <c r="L820" s="92"/>
    </row>
    <row r="821" spans="12:12" ht="31.5" x14ac:dyDescent="0.25">
      <c r="L821" s="101"/>
    </row>
    <row r="822" spans="12:12" ht="16.5" x14ac:dyDescent="0.25">
      <c r="L822" s="96"/>
    </row>
    <row r="823" spans="12:12" ht="16.5" x14ac:dyDescent="0.25">
      <c r="L823" s="96"/>
    </row>
    <row r="824" spans="12:12" ht="16.5" x14ac:dyDescent="0.25">
      <c r="L824" s="96"/>
    </row>
    <row r="825" spans="12:12" ht="16.5" x14ac:dyDescent="0.25">
      <c r="L825" s="96"/>
    </row>
    <row r="826" spans="12:12" x14ac:dyDescent="0.25">
      <c r="L826" s="92"/>
    </row>
    <row r="827" spans="12:12" x14ac:dyDescent="0.25">
      <c r="L827" s="93"/>
    </row>
    <row r="828" spans="12:12" x14ac:dyDescent="0.25">
      <c r="L828" s="95"/>
    </row>
    <row r="829" spans="12:12" x14ac:dyDescent="0.25">
      <c r="L829" s="93"/>
    </row>
    <row r="830" spans="12:12" x14ac:dyDescent="0.25">
      <c r="L830" s="94"/>
    </row>
    <row r="831" spans="12:12" x14ac:dyDescent="0.25">
      <c r="L831" s="92"/>
    </row>
    <row r="832" spans="12:12" x14ac:dyDescent="0.25">
      <c r="L832" s="93"/>
    </row>
    <row r="833" spans="12:12" x14ac:dyDescent="0.25">
      <c r="L833" s="92"/>
    </row>
    <row r="834" spans="12:12" x14ac:dyDescent="0.25">
      <c r="L834" s="93"/>
    </row>
    <row r="835" spans="12:12" x14ac:dyDescent="0.25">
      <c r="L835" s="94"/>
    </row>
    <row r="836" spans="12:12" x14ac:dyDescent="0.25">
      <c r="L836" s="92"/>
    </row>
    <row r="837" spans="12:12" x14ac:dyDescent="0.25">
      <c r="L837" s="92"/>
    </row>
    <row r="838" spans="12:12" x14ac:dyDescent="0.25">
      <c r="L838" s="95"/>
    </row>
    <row r="839" spans="12:12" x14ac:dyDescent="0.25">
      <c r="L839" s="93"/>
    </row>
    <row r="840" spans="12:12" x14ac:dyDescent="0.25">
      <c r="L840" s="94"/>
    </row>
    <row r="841" spans="12:12" x14ac:dyDescent="0.25">
      <c r="L841" s="92"/>
    </row>
    <row r="842" spans="12:12" x14ac:dyDescent="0.25">
      <c r="L842" s="92"/>
    </row>
    <row r="843" spans="12:12" x14ac:dyDescent="0.25">
      <c r="L843" s="92"/>
    </row>
    <row r="844" spans="12:12" x14ac:dyDescent="0.25">
      <c r="L844" s="93"/>
    </row>
    <row r="845" spans="12:12" x14ac:dyDescent="0.25">
      <c r="L845" s="94"/>
    </row>
    <row r="846" spans="12:12" x14ac:dyDescent="0.25">
      <c r="L846" s="92"/>
    </row>
    <row r="847" spans="12:12" x14ac:dyDescent="0.25">
      <c r="L847" s="93"/>
    </row>
    <row r="848" spans="12:12" x14ac:dyDescent="0.25">
      <c r="L848" s="92"/>
    </row>
    <row r="849" spans="12:12" x14ac:dyDescent="0.25">
      <c r="L849" s="93"/>
    </row>
    <row r="850" spans="12:12" x14ac:dyDescent="0.25">
      <c r="L850" s="94"/>
    </row>
    <row r="851" spans="12:12" x14ac:dyDescent="0.25">
      <c r="L851" s="92"/>
    </row>
    <row r="852" spans="12:12" x14ac:dyDescent="0.25">
      <c r="L852" s="93"/>
    </row>
    <row r="853" spans="12:12" x14ac:dyDescent="0.25">
      <c r="L853" s="92"/>
    </row>
    <row r="854" spans="12:12" x14ac:dyDescent="0.25">
      <c r="L854" s="93"/>
    </row>
    <row r="855" spans="12:12" x14ac:dyDescent="0.25">
      <c r="L855" s="94"/>
    </row>
    <row r="856" spans="12:12" x14ac:dyDescent="0.25">
      <c r="L856" s="92"/>
    </row>
    <row r="857" spans="12:12" x14ac:dyDescent="0.25">
      <c r="L857" s="93"/>
    </row>
    <row r="858" spans="12:12" x14ac:dyDescent="0.25">
      <c r="L858" s="92"/>
    </row>
    <row r="859" spans="12:12" x14ac:dyDescent="0.25">
      <c r="L859" s="93"/>
    </row>
    <row r="860" spans="12:12" x14ac:dyDescent="0.25">
      <c r="L860" s="94"/>
    </row>
    <row r="861" spans="12:12" x14ac:dyDescent="0.25">
      <c r="L861" s="92"/>
    </row>
    <row r="862" spans="12:12" x14ac:dyDescent="0.25">
      <c r="L862" s="93"/>
    </row>
    <row r="863" spans="12:12" x14ac:dyDescent="0.25">
      <c r="L863" s="92"/>
    </row>
    <row r="864" spans="12:12" x14ac:dyDescent="0.25">
      <c r="L864" s="93"/>
    </row>
    <row r="865" spans="12:12" x14ac:dyDescent="0.25">
      <c r="L865" s="94"/>
    </row>
    <row r="866" spans="12:12" x14ac:dyDescent="0.25">
      <c r="L866" s="92"/>
    </row>
    <row r="867" spans="12:12" x14ac:dyDescent="0.25">
      <c r="L867" s="93"/>
    </row>
    <row r="868" spans="12:12" x14ac:dyDescent="0.25">
      <c r="L868" s="92"/>
    </row>
    <row r="869" spans="12:12" x14ac:dyDescent="0.25">
      <c r="L869" s="93"/>
    </row>
    <row r="870" spans="12:12" x14ac:dyDescent="0.25">
      <c r="L870" s="94"/>
    </row>
    <row r="871" spans="12:12" x14ac:dyDescent="0.25">
      <c r="L871" s="92"/>
    </row>
    <row r="872" spans="12:12" x14ac:dyDescent="0.25">
      <c r="L872" s="93"/>
    </row>
    <row r="873" spans="12:12" x14ac:dyDescent="0.25">
      <c r="L873" s="92"/>
    </row>
    <row r="874" spans="12:12" x14ac:dyDescent="0.25">
      <c r="L874" s="93"/>
    </row>
    <row r="875" spans="12:12" x14ac:dyDescent="0.25">
      <c r="L875" s="94"/>
    </row>
    <row r="876" spans="12:12" x14ac:dyDescent="0.25">
      <c r="L876" s="92"/>
    </row>
    <row r="877" spans="12:12" x14ac:dyDescent="0.25">
      <c r="L877" s="93"/>
    </row>
    <row r="878" spans="12:12" x14ac:dyDescent="0.25">
      <c r="L878" s="92"/>
    </row>
    <row r="879" spans="12:12" x14ac:dyDescent="0.25">
      <c r="L879" s="93"/>
    </row>
    <row r="880" spans="12:12" x14ac:dyDescent="0.25">
      <c r="L880" s="94"/>
    </row>
    <row r="881" spans="12:12" x14ac:dyDescent="0.25">
      <c r="L881" s="92"/>
    </row>
    <row r="882" spans="12:12" x14ac:dyDescent="0.25">
      <c r="L882" s="93"/>
    </row>
    <row r="883" spans="12:12" x14ac:dyDescent="0.25">
      <c r="L883" s="92"/>
    </row>
    <row r="884" spans="12:12" x14ac:dyDescent="0.25">
      <c r="L884" s="93"/>
    </row>
    <row r="885" spans="12:12" x14ac:dyDescent="0.25">
      <c r="L885" s="94"/>
    </row>
    <row r="886" spans="12:12" x14ac:dyDescent="0.25">
      <c r="L886" s="92"/>
    </row>
    <row r="887" spans="12:12" x14ac:dyDescent="0.25">
      <c r="L887" s="93"/>
    </row>
    <row r="888" spans="12:12" x14ac:dyDescent="0.25">
      <c r="L888" s="92"/>
    </row>
    <row r="889" spans="12:12" x14ac:dyDescent="0.25">
      <c r="L889" s="93"/>
    </row>
    <row r="890" spans="12:12" x14ac:dyDescent="0.25">
      <c r="L890" s="94"/>
    </row>
    <row r="891" spans="12:12" x14ac:dyDescent="0.25">
      <c r="L891" s="92"/>
    </row>
    <row r="892" spans="12:12" x14ac:dyDescent="0.25">
      <c r="L892" s="93"/>
    </row>
    <row r="893" spans="12:12" x14ac:dyDescent="0.25">
      <c r="L893" s="92"/>
    </row>
    <row r="894" spans="12:12" x14ac:dyDescent="0.25">
      <c r="L894" s="93"/>
    </row>
    <row r="895" spans="12:12" x14ac:dyDescent="0.25">
      <c r="L895" s="94"/>
    </row>
    <row r="896" spans="12:12" x14ac:dyDescent="0.25">
      <c r="L896" s="92"/>
    </row>
    <row r="897" spans="12:12" x14ac:dyDescent="0.25">
      <c r="L897" s="93"/>
    </row>
    <row r="898" spans="12:12" x14ac:dyDescent="0.25">
      <c r="L898" s="92"/>
    </row>
    <row r="899" spans="12:12" x14ac:dyDescent="0.25">
      <c r="L899" s="93"/>
    </row>
    <row r="900" spans="12:12" x14ac:dyDescent="0.25">
      <c r="L900" s="94"/>
    </row>
    <row r="901" spans="12:12" x14ac:dyDescent="0.25">
      <c r="L901" s="92"/>
    </row>
    <row r="902" spans="12:12" x14ac:dyDescent="0.25">
      <c r="L902" s="93"/>
    </row>
    <row r="903" spans="12:12" x14ac:dyDescent="0.25">
      <c r="L903" s="92"/>
    </row>
    <row r="904" spans="12:12" x14ac:dyDescent="0.25">
      <c r="L904" s="93"/>
    </row>
    <row r="905" spans="12:12" x14ac:dyDescent="0.25">
      <c r="L905" s="94"/>
    </row>
    <row r="906" spans="12:12" x14ac:dyDescent="0.25">
      <c r="L906" s="92"/>
    </row>
    <row r="907" spans="12:12" x14ac:dyDescent="0.25">
      <c r="L907" s="93"/>
    </row>
    <row r="908" spans="12:12" x14ac:dyDescent="0.25">
      <c r="L908" s="92"/>
    </row>
    <row r="909" spans="12:12" x14ac:dyDescent="0.25">
      <c r="L909" s="93"/>
    </row>
    <row r="910" spans="12:12" x14ac:dyDescent="0.25">
      <c r="L910" s="94"/>
    </row>
    <row r="911" spans="12:12" x14ac:dyDescent="0.25">
      <c r="L911" s="92"/>
    </row>
    <row r="912" spans="12:12" x14ac:dyDescent="0.25">
      <c r="L912" s="93"/>
    </row>
    <row r="913" spans="12:12" x14ac:dyDescent="0.25">
      <c r="L913" s="92"/>
    </row>
    <row r="914" spans="12:12" x14ac:dyDescent="0.25">
      <c r="L914" s="93"/>
    </row>
    <row r="915" spans="12:12" x14ac:dyDescent="0.25">
      <c r="L915" s="94"/>
    </row>
    <row r="916" spans="12:12" x14ac:dyDescent="0.25">
      <c r="L916" s="92"/>
    </row>
    <row r="917" spans="12:12" x14ac:dyDescent="0.25">
      <c r="L917" s="93"/>
    </row>
    <row r="918" spans="12:12" x14ac:dyDescent="0.25">
      <c r="L918" s="92"/>
    </row>
    <row r="919" spans="12:12" x14ac:dyDescent="0.25">
      <c r="L919" s="93"/>
    </row>
    <row r="920" spans="12:12" x14ac:dyDescent="0.25">
      <c r="L920" s="94"/>
    </row>
    <row r="921" spans="12:12" x14ac:dyDescent="0.25">
      <c r="L921" s="92"/>
    </row>
    <row r="922" spans="12:12" x14ac:dyDescent="0.25">
      <c r="L922" s="93"/>
    </row>
    <row r="923" spans="12:12" x14ac:dyDescent="0.25">
      <c r="L923" s="92"/>
    </row>
    <row r="924" spans="12:12" x14ac:dyDescent="0.25">
      <c r="L924" s="93"/>
    </row>
    <row r="925" spans="12:12" x14ac:dyDescent="0.25">
      <c r="L925" s="94"/>
    </row>
    <row r="926" spans="12:12" x14ac:dyDescent="0.25">
      <c r="L926" s="92"/>
    </row>
    <row r="927" spans="12:12" x14ac:dyDescent="0.25">
      <c r="L927" s="93"/>
    </row>
    <row r="928" spans="12:12" x14ac:dyDescent="0.25">
      <c r="L928" s="92"/>
    </row>
    <row r="929" spans="12:12" x14ac:dyDescent="0.25">
      <c r="L929" s="93"/>
    </row>
    <row r="930" spans="12:12" x14ac:dyDescent="0.25">
      <c r="L930" s="94"/>
    </row>
    <row r="931" spans="12:12" x14ac:dyDescent="0.25">
      <c r="L931" s="92"/>
    </row>
    <row r="932" spans="12:12" x14ac:dyDescent="0.25">
      <c r="L932" s="93"/>
    </row>
    <row r="933" spans="12:12" x14ac:dyDescent="0.25">
      <c r="L933" s="92"/>
    </row>
    <row r="934" spans="12:12" x14ac:dyDescent="0.25">
      <c r="L934" s="93"/>
    </row>
    <row r="935" spans="12:12" x14ac:dyDescent="0.25">
      <c r="L935" s="94"/>
    </row>
    <row r="936" spans="12:12" x14ac:dyDescent="0.25">
      <c r="L936" s="92"/>
    </row>
    <row r="937" spans="12:12" x14ac:dyDescent="0.25">
      <c r="L937" s="93"/>
    </row>
    <row r="938" spans="12:12" x14ac:dyDescent="0.25">
      <c r="L938" s="92"/>
    </row>
    <row r="939" spans="12:12" x14ac:dyDescent="0.25">
      <c r="L939" s="93"/>
    </row>
    <row r="940" spans="12:12" x14ac:dyDescent="0.25">
      <c r="L940" s="94"/>
    </row>
    <row r="941" spans="12:12" x14ac:dyDescent="0.25">
      <c r="L941" s="92"/>
    </row>
    <row r="942" spans="12:12" x14ac:dyDescent="0.25">
      <c r="L942" s="93"/>
    </row>
    <row r="943" spans="12:12" x14ac:dyDescent="0.25">
      <c r="L943" s="92"/>
    </row>
    <row r="944" spans="12:12" x14ac:dyDescent="0.25">
      <c r="L944" s="93"/>
    </row>
    <row r="945" spans="12:12" x14ac:dyDescent="0.25">
      <c r="L945" s="94"/>
    </row>
    <row r="946" spans="12:12" x14ac:dyDescent="0.25">
      <c r="L946" s="92"/>
    </row>
    <row r="947" spans="12:12" x14ac:dyDescent="0.25">
      <c r="L947" s="93"/>
    </row>
    <row r="948" spans="12:12" x14ac:dyDescent="0.25">
      <c r="L948" s="92"/>
    </row>
    <row r="949" spans="12:12" x14ac:dyDescent="0.25">
      <c r="L949" s="93"/>
    </row>
    <row r="950" spans="12:12" x14ac:dyDescent="0.25">
      <c r="L950" s="94"/>
    </row>
    <row r="951" spans="12:12" x14ac:dyDescent="0.25">
      <c r="L951" s="92"/>
    </row>
    <row r="952" spans="12:12" x14ac:dyDescent="0.25">
      <c r="L952" s="93"/>
    </row>
    <row r="953" spans="12:12" x14ac:dyDescent="0.25">
      <c r="L953" s="92"/>
    </row>
    <row r="954" spans="12:12" x14ac:dyDescent="0.25">
      <c r="L954" s="93"/>
    </row>
    <row r="955" spans="12:12" x14ac:dyDescent="0.25">
      <c r="L955" s="94"/>
    </row>
    <row r="956" spans="12:12" x14ac:dyDescent="0.25">
      <c r="L956" s="92"/>
    </row>
    <row r="957" spans="12:12" x14ac:dyDescent="0.25">
      <c r="L957" s="93"/>
    </row>
    <row r="958" spans="12:12" x14ac:dyDescent="0.25">
      <c r="L958" s="92"/>
    </row>
    <row r="959" spans="12:12" x14ac:dyDescent="0.25">
      <c r="L959" s="93"/>
    </row>
    <row r="960" spans="12:12" x14ac:dyDescent="0.25">
      <c r="L960" s="94"/>
    </row>
    <row r="961" spans="12:12" x14ac:dyDescent="0.25">
      <c r="L961" s="92"/>
    </row>
    <row r="962" spans="12:12" x14ac:dyDescent="0.25">
      <c r="L962" s="93"/>
    </row>
    <row r="963" spans="12:12" x14ac:dyDescent="0.25">
      <c r="L963" s="92"/>
    </row>
    <row r="964" spans="12:12" x14ac:dyDescent="0.25">
      <c r="L964" s="93"/>
    </row>
    <row r="965" spans="12:12" x14ac:dyDescent="0.25">
      <c r="L965" s="94"/>
    </row>
    <row r="966" spans="12:12" x14ac:dyDescent="0.25">
      <c r="L966" s="92"/>
    </row>
    <row r="967" spans="12:12" x14ac:dyDescent="0.25">
      <c r="L967" s="93"/>
    </row>
    <row r="968" spans="12:12" x14ac:dyDescent="0.25">
      <c r="L968" s="92"/>
    </row>
    <row r="969" spans="12:12" x14ac:dyDescent="0.25">
      <c r="L969" s="93"/>
    </row>
    <row r="970" spans="12:12" x14ac:dyDescent="0.25">
      <c r="L970" s="94"/>
    </row>
    <row r="971" spans="12:12" x14ac:dyDescent="0.25">
      <c r="L971" s="92"/>
    </row>
    <row r="972" spans="12:12" x14ac:dyDescent="0.25">
      <c r="L972" s="93"/>
    </row>
    <row r="973" spans="12:12" x14ac:dyDescent="0.25">
      <c r="L973" s="92"/>
    </row>
    <row r="974" spans="12:12" x14ac:dyDescent="0.25">
      <c r="L974" s="93"/>
    </row>
    <row r="975" spans="12:12" x14ac:dyDescent="0.25">
      <c r="L975" s="94"/>
    </row>
    <row r="976" spans="12:12" x14ac:dyDescent="0.25">
      <c r="L976" s="92"/>
    </row>
    <row r="977" spans="12:12" x14ac:dyDescent="0.25">
      <c r="L977" s="93"/>
    </row>
    <row r="978" spans="12:12" x14ac:dyDescent="0.25">
      <c r="L978" s="92"/>
    </row>
    <row r="979" spans="12:12" x14ac:dyDescent="0.25">
      <c r="L979" s="93"/>
    </row>
    <row r="980" spans="12:12" x14ac:dyDescent="0.25">
      <c r="L980" s="94"/>
    </row>
    <row r="981" spans="12:12" x14ac:dyDescent="0.25">
      <c r="L981" s="92"/>
    </row>
    <row r="982" spans="12:12" x14ac:dyDescent="0.25">
      <c r="L982" s="93"/>
    </row>
    <row r="983" spans="12:12" x14ac:dyDescent="0.25">
      <c r="L983" s="92"/>
    </row>
    <row r="984" spans="12:12" x14ac:dyDescent="0.25">
      <c r="L984" s="93"/>
    </row>
    <row r="985" spans="12:12" x14ac:dyDescent="0.25">
      <c r="L985" s="94"/>
    </row>
    <row r="986" spans="12:12" x14ac:dyDescent="0.25">
      <c r="L986" s="92"/>
    </row>
    <row r="987" spans="12:12" x14ac:dyDescent="0.25">
      <c r="L987" s="93"/>
    </row>
    <row r="988" spans="12:12" x14ac:dyDescent="0.25">
      <c r="L988" s="92"/>
    </row>
    <row r="989" spans="12:12" x14ac:dyDescent="0.25">
      <c r="L989" s="93"/>
    </row>
    <row r="990" spans="12:12" x14ac:dyDescent="0.25">
      <c r="L990" s="94"/>
    </row>
    <row r="991" spans="12:12" x14ac:dyDescent="0.25">
      <c r="L991" s="92"/>
    </row>
    <row r="992" spans="12:12" x14ac:dyDescent="0.25">
      <c r="L992" s="93"/>
    </row>
    <row r="993" spans="12:12" x14ac:dyDescent="0.25">
      <c r="L993" s="92"/>
    </row>
    <row r="994" spans="12:12" x14ac:dyDescent="0.25">
      <c r="L994" s="93"/>
    </row>
    <row r="995" spans="12:12" x14ac:dyDescent="0.25">
      <c r="L995" s="94"/>
    </row>
    <row r="996" spans="12:12" x14ac:dyDescent="0.25">
      <c r="L996" s="92"/>
    </row>
    <row r="997" spans="12:12" x14ac:dyDescent="0.25">
      <c r="L997" s="93"/>
    </row>
    <row r="998" spans="12:12" x14ac:dyDescent="0.25">
      <c r="L998" s="92"/>
    </row>
    <row r="999" spans="12:12" x14ac:dyDescent="0.25">
      <c r="L999" s="93"/>
    </row>
    <row r="1000" spans="12:12" x14ac:dyDescent="0.25">
      <c r="L1000" s="94"/>
    </row>
    <row r="1001" spans="12:12" x14ac:dyDescent="0.25">
      <c r="L1001" s="92"/>
    </row>
    <row r="1002" spans="12:12" x14ac:dyDescent="0.25">
      <c r="L1002" s="93"/>
    </row>
    <row r="1003" spans="12:12" x14ac:dyDescent="0.25">
      <c r="L1003" s="92"/>
    </row>
    <row r="1004" spans="12:12" x14ac:dyDescent="0.25">
      <c r="L1004" s="93"/>
    </row>
    <row r="1005" spans="12:12" x14ac:dyDescent="0.25">
      <c r="L1005" s="94"/>
    </row>
    <row r="1006" spans="12:12" x14ac:dyDescent="0.25">
      <c r="L1006" s="92"/>
    </row>
    <row r="1007" spans="12:12" x14ac:dyDescent="0.25">
      <c r="L1007" s="93"/>
    </row>
    <row r="1008" spans="12:12" x14ac:dyDescent="0.25">
      <c r="L1008" s="92"/>
    </row>
    <row r="1009" spans="12:12" x14ac:dyDescent="0.25">
      <c r="L1009" s="93"/>
    </row>
    <row r="1010" spans="12:12" x14ac:dyDescent="0.25">
      <c r="L1010" s="94"/>
    </row>
    <row r="1011" spans="12:12" x14ac:dyDescent="0.25">
      <c r="L1011" s="92"/>
    </row>
    <row r="1012" spans="12:12" x14ac:dyDescent="0.25">
      <c r="L1012" s="93"/>
    </row>
    <row r="1013" spans="12:12" x14ac:dyDescent="0.25">
      <c r="L1013" s="92"/>
    </row>
    <row r="1014" spans="12:12" x14ac:dyDescent="0.25">
      <c r="L1014" s="93"/>
    </row>
    <row r="1015" spans="12:12" x14ac:dyDescent="0.25">
      <c r="L1015" s="94"/>
    </row>
    <row r="1016" spans="12:12" x14ac:dyDescent="0.25">
      <c r="L1016" s="92"/>
    </row>
    <row r="1017" spans="12:12" x14ac:dyDescent="0.25">
      <c r="L1017" s="93"/>
    </row>
    <row r="1018" spans="12:12" x14ac:dyDescent="0.25">
      <c r="L1018" s="92"/>
    </row>
    <row r="1019" spans="12:12" x14ac:dyDescent="0.25">
      <c r="L1019" s="93"/>
    </row>
    <row r="1020" spans="12:12" x14ac:dyDescent="0.25">
      <c r="L1020" s="94"/>
    </row>
    <row r="1021" spans="12:12" x14ac:dyDescent="0.25">
      <c r="L1021" s="92"/>
    </row>
    <row r="1022" spans="12:12" x14ac:dyDescent="0.25">
      <c r="L1022" s="93"/>
    </row>
    <row r="1023" spans="12:12" x14ac:dyDescent="0.25">
      <c r="L1023" s="92"/>
    </row>
    <row r="1024" spans="12:12" x14ac:dyDescent="0.25">
      <c r="L1024" s="93"/>
    </row>
    <row r="1025" spans="12:12" x14ac:dyDescent="0.25">
      <c r="L1025" s="94"/>
    </row>
    <row r="1026" spans="12:12" x14ac:dyDescent="0.25">
      <c r="L1026" s="92"/>
    </row>
    <row r="1027" spans="12:12" x14ac:dyDescent="0.25">
      <c r="L1027" s="93"/>
    </row>
    <row r="1028" spans="12:12" x14ac:dyDescent="0.25">
      <c r="L1028" s="92"/>
    </row>
    <row r="1029" spans="12:12" x14ac:dyDescent="0.25">
      <c r="L1029" s="93"/>
    </row>
    <row r="1030" spans="12:12" x14ac:dyDescent="0.25">
      <c r="L1030" s="94"/>
    </row>
    <row r="1031" spans="12:12" x14ac:dyDescent="0.25">
      <c r="L1031" s="92"/>
    </row>
    <row r="1032" spans="12:12" x14ac:dyDescent="0.25">
      <c r="L1032" s="93"/>
    </row>
    <row r="1033" spans="12:12" x14ac:dyDescent="0.25">
      <c r="L1033" s="92"/>
    </row>
    <row r="1034" spans="12:12" x14ac:dyDescent="0.25">
      <c r="L1034" s="93"/>
    </row>
    <row r="1035" spans="12:12" x14ac:dyDescent="0.25">
      <c r="L1035" s="94"/>
    </row>
    <row r="1036" spans="12:12" x14ac:dyDescent="0.25">
      <c r="L1036" s="92"/>
    </row>
    <row r="1037" spans="12:12" x14ac:dyDescent="0.25">
      <c r="L1037" s="93"/>
    </row>
    <row r="1038" spans="12:12" x14ac:dyDescent="0.25">
      <c r="L1038" s="92"/>
    </row>
    <row r="1039" spans="12:12" x14ac:dyDescent="0.25">
      <c r="L1039" s="93"/>
    </row>
    <row r="1040" spans="12:12" x14ac:dyDescent="0.25">
      <c r="L1040" s="94"/>
    </row>
    <row r="1041" spans="12:12" x14ac:dyDescent="0.25">
      <c r="L1041" s="92"/>
    </row>
    <row r="1042" spans="12:12" x14ac:dyDescent="0.25">
      <c r="L1042" s="93"/>
    </row>
    <row r="1043" spans="12:12" x14ac:dyDescent="0.25">
      <c r="L1043" s="92"/>
    </row>
    <row r="1044" spans="12:12" x14ac:dyDescent="0.25">
      <c r="L1044" s="93"/>
    </row>
    <row r="1045" spans="12:12" x14ac:dyDescent="0.25">
      <c r="L1045" s="94"/>
    </row>
    <row r="1046" spans="12:12" x14ac:dyDescent="0.25">
      <c r="L1046" s="92"/>
    </row>
    <row r="1047" spans="12:12" x14ac:dyDescent="0.25">
      <c r="L1047" s="93"/>
    </row>
    <row r="1048" spans="12:12" x14ac:dyDescent="0.25">
      <c r="L1048" s="92"/>
    </row>
    <row r="1049" spans="12:12" x14ac:dyDescent="0.25">
      <c r="L1049" s="93"/>
    </row>
    <row r="1050" spans="12:12" x14ac:dyDescent="0.25">
      <c r="L1050" s="94"/>
    </row>
    <row r="1051" spans="12:12" x14ac:dyDescent="0.25">
      <c r="L1051" s="92"/>
    </row>
    <row r="1052" spans="12:12" x14ac:dyDescent="0.25">
      <c r="L1052" s="93"/>
    </row>
    <row r="1053" spans="12:12" x14ac:dyDescent="0.25">
      <c r="L1053" s="92"/>
    </row>
    <row r="1054" spans="12:12" x14ac:dyDescent="0.25">
      <c r="L1054" s="93"/>
    </row>
    <row r="1055" spans="12:12" x14ac:dyDescent="0.25">
      <c r="L1055" s="94"/>
    </row>
    <row r="1056" spans="12:12" x14ac:dyDescent="0.25">
      <c r="L1056" s="92"/>
    </row>
    <row r="1057" spans="12:12" x14ac:dyDescent="0.25">
      <c r="L1057" s="93"/>
    </row>
    <row r="1058" spans="12:12" x14ac:dyDescent="0.25">
      <c r="L1058" s="92"/>
    </row>
    <row r="1059" spans="12:12" x14ac:dyDescent="0.25">
      <c r="L1059" s="93"/>
    </row>
    <row r="1060" spans="12:12" x14ac:dyDescent="0.25">
      <c r="L1060" s="94"/>
    </row>
    <row r="1061" spans="12:12" x14ac:dyDescent="0.25">
      <c r="L1061" s="92"/>
    </row>
    <row r="1062" spans="12:12" x14ac:dyDescent="0.25">
      <c r="L1062" s="93"/>
    </row>
    <row r="1063" spans="12:12" x14ac:dyDescent="0.25">
      <c r="L1063" s="92"/>
    </row>
    <row r="1064" spans="12:12" x14ac:dyDescent="0.25">
      <c r="L1064" s="93"/>
    </row>
    <row r="1065" spans="12:12" x14ac:dyDescent="0.25">
      <c r="L1065" s="94"/>
    </row>
    <row r="1066" spans="12:12" x14ac:dyDescent="0.25">
      <c r="L1066" s="92"/>
    </row>
    <row r="1067" spans="12:12" x14ac:dyDescent="0.25">
      <c r="L1067" s="93"/>
    </row>
    <row r="1068" spans="12:12" x14ac:dyDescent="0.25">
      <c r="L1068" s="92"/>
    </row>
    <row r="1069" spans="12:12" x14ac:dyDescent="0.25">
      <c r="L1069" s="93"/>
    </row>
    <row r="1070" spans="12:12" x14ac:dyDescent="0.25">
      <c r="L1070" s="94"/>
    </row>
    <row r="1071" spans="12:12" x14ac:dyDescent="0.25">
      <c r="L1071" s="92"/>
    </row>
    <row r="1072" spans="12:12" x14ac:dyDescent="0.25">
      <c r="L1072" s="93"/>
    </row>
    <row r="1073" spans="12:12" x14ac:dyDescent="0.25">
      <c r="L1073" s="92"/>
    </row>
    <row r="1074" spans="12:12" x14ac:dyDescent="0.25">
      <c r="L1074" s="93"/>
    </row>
    <row r="1075" spans="12:12" x14ac:dyDescent="0.25">
      <c r="L1075" s="94"/>
    </row>
    <row r="1076" spans="12:12" x14ac:dyDescent="0.25">
      <c r="L1076" s="92"/>
    </row>
    <row r="1077" spans="12:12" x14ac:dyDescent="0.25">
      <c r="L1077" s="93"/>
    </row>
    <row r="1078" spans="12:12" x14ac:dyDescent="0.25">
      <c r="L1078" s="92"/>
    </row>
    <row r="1079" spans="12:12" x14ac:dyDescent="0.25">
      <c r="L1079" s="93"/>
    </row>
    <row r="1080" spans="12:12" x14ac:dyDescent="0.25">
      <c r="L1080" s="94"/>
    </row>
    <row r="1081" spans="12:12" x14ac:dyDescent="0.25">
      <c r="L1081" s="92"/>
    </row>
    <row r="1082" spans="12:12" x14ac:dyDescent="0.25">
      <c r="L1082" s="93"/>
    </row>
    <row r="1083" spans="12:12" x14ac:dyDescent="0.25">
      <c r="L1083" s="92"/>
    </row>
    <row r="1084" spans="12:12" x14ac:dyDescent="0.25">
      <c r="L1084" s="93"/>
    </row>
    <row r="1085" spans="12:12" x14ac:dyDescent="0.25">
      <c r="L1085" s="94"/>
    </row>
    <row r="1086" spans="12:12" x14ac:dyDescent="0.25">
      <c r="L1086" s="92"/>
    </row>
    <row r="1087" spans="12:12" x14ac:dyDescent="0.25">
      <c r="L1087" s="93"/>
    </row>
    <row r="1088" spans="12:12" x14ac:dyDescent="0.25">
      <c r="L1088" s="92"/>
    </row>
    <row r="1089" spans="12:12" x14ac:dyDescent="0.25">
      <c r="L1089" s="93"/>
    </row>
    <row r="1090" spans="12:12" x14ac:dyDescent="0.25">
      <c r="L1090" s="94"/>
    </row>
    <row r="1091" spans="12:12" x14ac:dyDescent="0.25">
      <c r="L1091" s="92"/>
    </row>
    <row r="1092" spans="12:12" x14ac:dyDescent="0.25">
      <c r="L1092" s="93"/>
    </row>
    <row r="1093" spans="12:12" x14ac:dyDescent="0.25">
      <c r="L1093" s="92"/>
    </row>
    <row r="1094" spans="12:12" x14ac:dyDescent="0.25">
      <c r="L1094" s="93"/>
    </row>
    <row r="1095" spans="12:12" x14ac:dyDescent="0.25">
      <c r="L1095" s="94"/>
    </row>
    <row r="1096" spans="12:12" x14ac:dyDescent="0.25">
      <c r="L1096" s="92"/>
    </row>
    <row r="1097" spans="12:12" x14ac:dyDescent="0.25">
      <c r="L1097" s="93"/>
    </row>
    <row r="1098" spans="12:12" x14ac:dyDescent="0.25">
      <c r="L1098" s="92"/>
    </row>
    <row r="1099" spans="12:12" x14ac:dyDescent="0.25">
      <c r="L1099" s="93"/>
    </row>
    <row r="1100" spans="12:12" x14ac:dyDescent="0.25">
      <c r="L1100" s="94"/>
    </row>
    <row r="1101" spans="12:12" x14ac:dyDescent="0.25">
      <c r="L1101" s="92"/>
    </row>
    <row r="1102" spans="12:12" x14ac:dyDescent="0.25">
      <c r="L1102" s="93"/>
    </row>
    <row r="1103" spans="12:12" x14ac:dyDescent="0.25">
      <c r="L1103" s="92"/>
    </row>
    <row r="1104" spans="12:12" x14ac:dyDescent="0.25">
      <c r="L1104" s="93"/>
    </row>
    <row r="1105" spans="12:12" x14ac:dyDescent="0.25">
      <c r="L1105" s="94"/>
    </row>
    <row r="1106" spans="12:12" x14ac:dyDescent="0.25">
      <c r="L1106" s="92"/>
    </row>
    <row r="1107" spans="12:12" x14ac:dyDescent="0.25">
      <c r="L1107" s="93"/>
    </row>
    <row r="1108" spans="12:12" x14ac:dyDescent="0.25">
      <c r="L1108" s="92"/>
    </row>
    <row r="1109" spans="12:12" x14ac:dyDescent="0.25">
      <c r="L1109" s="93"/>
    </row>
    <row r="1110" spans="12:12" x14ac:dyDescent="0.25">
      <c r="L1110" s="94"/>
    </row>
    <row r="1111" spans="12:12" x14ac:dyDescent="0.25">
      <c r="L1111" s="92"/>
    </row>
    <row r="1112" spans="12:12" x14ac:dyDescent="0.25">
      <c r="L1112" s="93"/>
    </row>
    <row r="1113" spans="12:12" x14ac:dyDescent="0.25">
      <c r="L1113" s="95"/>
    </row>
    <row r="1114" spans="12:12" x14ac:dyDescent="0.25">
      <c r="L1114" s="93"/>
    </row>
    <row r="1115" spans="12:12" x14ac:dyDescent="0.25">
      <c r="L1115" s="94"/>
    </row>
    <row r="1116" spans="12:12" x14ac:dyDescent="0.25">
      <c r="L1116" s="92"/>
    </row>
    <row r="1117" spans="12:12" x14ac:dyDescent="0.25">
      <c r="L1117" s="93"/>
    </row>
    <row r="1118" spans="12:12" x14ac:dyDescent="0.25">
      <c r="L1118" s="92"/>
    </row>
    <row r="1119" spans="12:12" x14ac:dyDescent="0.25">
      <c r="L1119" s="93"/>
    </row>
    <row r="1120" spans="12:12" x14ac:dyDescent="0.25">
      <c r="L1120" s="94"/>
    </row>
    <row r="1121" spans="12:12" x14ac:dyDescent="0.25">
      <c r="L1121" s="92"/>
    </row>
    <row r="1122" spans="12:12" x14ac:dyDescent="0.25">
      <c r="L1122" s="93"/>
    </row>
    <row r="1123" spans="12:12" x14ac:dyDescent="0.25">
      <c r="L1123" s="92"/>
    </row>
    <row r="1124" spans="12:12" x14ac:dyDescent="0.25">
      <c r="L1124" s="93"/>
    </row>
    <row r="1125" spans="12:12" x14ac:dyDescent="0.25">
      <c r="L1125" s="94"/>
    </row>
    <row r="1126" spans="12:12" x14ac:dyDescent="0.25">
      <c r="L1126" s="92"/>
    </row>
    <row r="1127" spans="12:12" x14ac:dyDescent="0.25">
      <c r="L1127" s="93"/>
    </row>
    <row r="1128" spans="12:12" x14ac:dyDescent="0.25">
      <c r="L1128" s="92"/>
    </row>
    <row r="1129" spans="12:12" x14ac:dyDescent="0.25">
      <c r="L1129" s="93"/>
    </row>
    <row r="1130" spans="12:12" x14ac:dyDescent="0.25">
      <c r="L1130" s="94"/>
    </row>
    <row r="1131" spans="12:12" x14ac:dyDescent="0.25">
      <c r="L1131" s="92"/>
    </row>
    <row r="1132" spans="12:12" x14ac:dyDescent="0.25">
      <c r="L1132" s="93"/>
    </row>
    <row r="1133" spans="12:12" x14ac:dyDescent="0.25">
      <c r="L1133" s="92"/>
    </row>
    <row r="1134" spans="12:12" x14ac:dyDescent="0.25">
      <c r="L1134" s="93"/>
    </row>
    <row r="1135" spans="12:12" x14ac:dyDescent="0.25">
      <c r="L1135" s="94"/>
    </row>
    <row r="1136" spans="12:12" x14ac:dyDescent="0.25">
      <c r="L1136" s="92"/>
    </row>
    <row r="1137" spans="12:12" x14ac:dyDescent="0.25">
      <c r="L1137" s="93"/>
    </row>
    <row r="1138" spans="12:12" x14ac:dyDescent="0.25">
      <c r="L1138" s="92"/>
    </row>
    <row r="1139" spans="12:12" x14ac:dyDescent="0.25">
      <c r="L1139" s="93"/>
    </row>
    <row r="1140" spans="12:12" x14ac:dyDescent="0.25">
      <c r="L1140" s="94"/>
    </row>
    <row r="1141" spans="12:12" x14ac:dyDescent="0.25">
      <c r="L1141" s="92"/>
    </row>
    <row r="1142" spans="12:12" x14ac:dyDescent="0.25">
      <c r="L1142" s="93"/>
    </row>
    <row r="1143" spans="12:12" x14ac:dyDescent="0.25">
      <c r="L1143" s="92"/>
    </row>
    <row r="1144" spans="12:12" x14ac:dyDescent="0.25">
      <c r="L1144" s="93"/>
    </row>
    <row r="1145" spans="12:12" x14ac:dyDescent="0.25">
      <c r="L1145" s="94"/>
    </row>
    <row r="1146" spans="12:12" x14ac:dyDescent="0.25">
      <c r="L1146" s="92"/>
    </row>
    <row r="1147" spans="12:12" x14ac:dyDescent="0.25">
      <c r="L1147" s="93"/>
    </row>
    <row r="1148" spans="12:12" x14ac:dyDescent="0.25">
      <c r="L1148" s="92"/>
    </row>
    <row r="1149" spans="12:12" x14ac:dyDescent="0.25">
      <c r="L1149" s="93"/>
    </row>
    <row r="1150" spans="12:12" x14ac:dyDescent="0.25">
      <c r="L1150" s="94"/>
    </row>
    <row r="1151" spans="12:12" x14ac:dyDescent="0.25">
      <c r="L1151" s="92"/>
    </row>
    <row r="1152" spans="12:12" x14ac:dyDescent="0.25">
      <c r="L1152" s="93"/>
    </row>
    <row r="1153" spans="12:12" x14ac:dyDescent="0.25">
      <c r="L1153" s="92"/>
    </row>
    <row r="1154" spans="12:12" x14ac:dyDescent="0.25">
      <c r="L1154" s="93"/>
    </row>
    <row r="1155" spans="12:12" x14ac:dyDescent="0.25">
      <c r="L1155" s="94"/>
    </row>
    <row r="1156" spans="12:12" x14ac:dyDescent="0.25">
      <c r="L1156" s="92"/>
    </row>
    <row r="1157" spans="12:12" x14ac:dyDescent="0.25">
      <c r="L1157" s="93"/>
    </row>
    <row r="1158" spans="12:12" x14ac:dyDescent="0.25">
      <c r="L1158" s="92"/>
    </row>
    <row r="1159" spans="12:12" x14ac:dyDescent="0.25">
      <c r="L1159" s="93"/>
    </row>
    <row r="1160" spans="12:12" x14ac:dyDescent="0.25">
      <c r="L1160" s="94"/>
    </row>
    <row r="1161" spans="12:12" x14ac:dyDescent="0.25">
      <c r="L1161" s="92"/>
    </row>
    <row r="1162" spans="12:12" x14ac:dyDescent="0.25">
      <c r="L1162" s="93"/>
    </row>
    <row r="1163" spans="12:12" x14ac:dyDescent="0.25">
      <c r="L1163" s="92"/>
    </row>
    <row r="1164" spans="12:12" x14ac:dyDescent="0.25">
      <c r="L1164" s="93"/>
    </row>
    <row r="1165" spans="12:12" x14ac:dyDescent="0.25">
      <c r="L1165" s="94"/>
    </row>
    <row r="1166" spans="12:12" x14ac:dyDescent="0.25">
      <c r="L1166" s="92"/>
    </row>
    <row r="1167" spans="12:12" x14ac:dyDescent="0.25">
      <c r="L1167" s="93"/>
    </row>
    <row r="1168" spans="12:12" x14ac:dyDescent="0.25">
      <c r="L1168" s="92"/>
    </row>
    <row r="1169" spans="12:12" x14ac:dyDescent="0.25">
      <c r="L1169" s="93"/>
    </row>
    <row r="1170" spans="12:12" x14ac:dyDescent="0.25">
      <c r="L1170" s="94"/>
    </row>
  </sheetData>
  <mergeCells count="14">
    <mergeCell ref="A371:I372"/>
    <mergeCell ref="A377:I378"/>
    <mergeCell ref="A364:F364"/>
    <mergeCell ref="A365:F365"/>
    <mergeCell ref="A366:F366"/>
    <mergeCell ref="A367:F367"/>
    <mergeCell ref="A369:I370"/>
    <mergeCell ref="A373:I374"/>
    <mergeCell ref="A375:I376"/>
    <mergeCell ref="A360:F360"/>
    <mergeCell ref="A361:F361"/>
    <mergeCell ref="A362:F362"/>
    <mergeCell ref="A363:F363"/>
    <mergeCell ref="A368:F368"/>
  </mergeCells>
  <phoneticPr fontId="3" type="noConversion"/>
  <pageMargins left="0.75" right="0.75" top="1" bottom="1" header="0" footer="0"/>
  <pageSetup paperSize="9" scale="8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0" workbookViewId="0">
      <selection activeCell="B130" sqref="B1:B1048576"/>
    </sheetView>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Superintendencia de Valores y Seguros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Castellón Chacón Viviana Angélica</dc:creator>
  <cp:lastModifiedBy>Arriaza Barriga Sebastián</cp:lastModifiedBy>
  <cp:lastPrinted>2009-03-09T12:47:24Z</cp:lastPrinted>
  <dcterms:created xsi:type="dcterms:W3CDTF">2006-09-29T14:08:56Z</dcterms:created>
  <dcterms:modified xsi:type="dcterms:W3CDTF">2016-03-15T19:57:38Z</dcterms:modified>
</cp:coreProperties>
</file>