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Marzo" sheetId="1" r:id="rId1"/>
    <sheet name="Junio" sheetId="2" r:id="rId2"/>
    <sheet name="Septiembre" sheetId="3" r:id="rId3"/>
    <sheet name="Dic" sheetId="4" r:id="rId4"/>
  </sheets>
  <calcPr calcId="145621"/>
</workbook>
</file>

<file path=xl/calcChain.xml><?xml version="1.0" encoding="utf-8"?>
<calcChain xmlns="http://schemas.openxmlformats.org/spreadsheetml/2006/main">
  <c r="I66" i="4" l="1"/>
  <c r="K57" i="4"/>
  <c r="G57" i="4"/>
  <c r="H57" i="4" s="1"/>
  <c r="K56" i="4"/>
  <c r="G56" i="4"/>
  <c r="H56" i="4" s="1"/>
  <c r="M37" i="4"/>
  <c r="L37" i="4"/>
  <c r="J37" i="4"/>
  <c r="I37" i="4"/>
  <c r="F37" i="4"/>
  <c r="C37" i="4"/>
  <c r="N36" i="4"/>
  <c r="N37" i="4" s="1"/>
  <c r="K36" i="4"/>
  <c r="K37" i="4" s="1"/>
  <c r="G36" i="4"/>
  <c r="G37" i="4" s="1"/>
  <c r="M34" i="4"/>
  <c r="M39" i="4" s="1"/>
  <c r="L34" i="4"/>
  <c r="L39" i="4" s="1"/>
  <c r="J34" i="4"/>
  <c r="J39" i="4" s="1"/>
  <c r="I34" i="4"/>
  <c r="I39" i="4" s="1"/>
  <c r="F34" i="4"/>
  <c r="F39" i="4" s="1"/>
  <c r="C34" i="4"/>
  <c r="C39" i="4" s="1"/>
  <c r="N33" i="4"/>
  <c r="K33" i="4"/>
  <c r="G33" i="4"/>
  <c r="H33" i="4" s="1"/>
  <c r="N32" i="4"/>
  <c r="K32" i="4"/>
  <c r="G32" i="4"/>
  <c r="H32" i="4" s="1"/>
  <c r="N31" i="4"/>
  <c r="K31" i="4"/>
  <c r="G31" i="4"/>
  <c r="H31" i="4" s="1"/>
  <c r="N30" i="4"/>
  <c r="K30" i="4"/>
  <c r="G30" i="4"/>
  <c r="H30" i="4" s="1"/>
  <c r="N29" i="4"/>
  <c r="K29" i="4"/>
  <c r="G29" i="4"/>
  <c r="H29" i="4" s="1"/>
  <c r="N28" i="4"/>
  <c r="K28" i="4"/>
  <c r="G28" i="4"/>
  <c r="H28" i="4" s="1"/>
  <c r="N27" i="4"/>
  <c r="K27" i="4"/>
  <c r="G27" i="4"/>
  <c r="H27" i="4" s="1"/>
  <c r="N26" i="4"/>
  <c r="K26" i="4"/>
  <c r="G26" i="4"/>
  <c r="H26" i="4" s="1"/>
  <c r="N25" i="4"/>
  <c r="H25" i="4"/>
  <c r="G25" i="4"/>
  <c r="N24" i="4"/>
  <c r="K24" i="4"/>
  <c r="G24" i="4" s="1"/>
  <c r="H24" i="4" s="1"/>
  <c r="N23" i="4"/>
  <c r="K23" i="4"/>
  <c r="G23" i="4" s="1"/>
  <c r="H23" i="4" s="1"/>
  <c r="N22" i="4"/>
  <c r="K22" i="4"/>
  <c r="G22" i="4" s="1"/>
  <c r="H22" i="4" s="1"/>
  <c r="N21" i="4"/>
  <c r="K21" i="4"/>
  <c r="G21" i="4" s="1"/>
  <c r="H21" i="4" s="1"/>
  <c r="N20" i="4"/>
  <c r="K20" i="4"/>
  <c r="G20" i="4" s="1"/>
  <c r="H20" i="4" s="1"/>
  <c r="N19" i="4"/>
  <c r="K19" i="4"/>
  <c r="G19" i="4" s="1"/>
  <c r="H19" i="4" s="1"/>
  <c r="N18" i="4"/>
  <c r="K18" i="4"/>
  <c r="G18" i="4" s="1"/>
  <c r="H18" i="4" s="1"/>
  <c r="N17" i="4"/>
  <c r="K17" i="4"/>
  <c r="G17" i="4" s="1"/>
  <c r="H17" i="4" s="1"/>
  <c r="N16" i="4"/>
  <c r="K16" i="4"/>
  <c r="G16" i="4" s="1"/>
  <c r="H16" i="4" s="1"/>
  <c r="N15" i="4"/>
  <c r="K15" i="4"/>
  <c r="G15" i="4" s="1"/>
  <c r="H15" i="4" s="1"/>
  <c r="N14" i="4"/>
  <c r="K14" i="4"/>
  <c r="G14" i="4" s="1"/>
  <c r="H14" i="4" s="1"/>
  <c r="N13" i="4"/>
  <c r="K13" i="4"/>
  <c r="G13" i="4" s="1"/>
  <c r="H13" i="4" s="1"/>
  <c r="N12" i="4"/>
  <c r="K12" i="4"/>
  <c r="G12" i="4" s="1"/>
  <c r="H12" i="4" s="1"/>
  <c r="N11" i="4"/>
  <c r="K11" i="4"/>
  <c r="G11" i="4" s="1"/>
  <c r="H11" i="4" s="1"/>
  <c r="N10" i="4"/>
  <c r="K10" i="4"/>
  <c r="G10" i="4" s="1"/>
  <c r="H10" i="4" s="1"/>
  <c r="N9" i="4"/>
  <c r="H9" i="4"/>
  <c r="G9" i="4"/>
  <c r="N8" i="4"/>
  <c r="N34" i="4" s="1"/>
  <c r="N39" i="4" s="1"/>
  <c r="K8" i="4"/>
  <c r="K34" i="4" s="1"/>
  <c r="I64" i="3"/>
  <c r="K55" i="3"/>
  <c r="G55" i="3"/>
  <c r="H55" i="3" s="1"/>
  <c r="K54" i="3"/>
  <c r="G54" i="3"/>
  <c r="H54" i="3" s="1"/>
  <c r="J40" i="3"/>
  <c r="F40" i="3"/>
  <c r="M38" i="3"/>
  <c r="L38" i="3"/>
  <c r="K38" i="3"/>
  <c r="J38" i="3"/>
  <c r="I38" i="3"/>
  <c r="F38" i="3"/>
  <c r="C38" i="3"/>
  <c r="K37" i="3"/>
  <c r="G37" i="3" s="1"/>
  <c r="M35" i="3"/>
  <c r="M40" i="3" s="1"/>
  <c r="L35" i="3"/>
  <c r="L40" i="3" s="1"/>
  <c r="J35" i="3"/>
  <c r="I35" i="3"/>
  <c r="I40" i="3" s="1"/>
  <c r="F35" i="3"/>
  <c r="C35" i="3"/>
  <c r="C40" i="3" s="1"/>
  <c r="K34" i="3"/>
  <c r="H34" i="3"/>
  <c r="G34" i="3"/>
  <c r="K33" i="3"/>
  <c r="G33" i="3"/>
  <c r="H33" i="3" s="1"/>
  <c r="K32" i="3"/>
  <c r="G32" i="3" s="1"/>
  <c r="H32" i="3" s="1"/>
  <c r="K31" i="3"/>
  <c r="G31" i="3" s="1"/>
  <c r="H31" i="3" s="1"/>
  <c r="K30" i="3"/>
  <c r="H30" i="3"/>
  <c r="G30" i="3"/>
  <c r="K29" i="3"/>
  <c r="G29" i="3"/>
  <c r="H29" i="3" s="1"/>
  <c r="K28" i="3"/>
  <c r="G28" i="3" s="1"/>
  <c r="H28" i="3" s="1"/>
  <c r="K27" i="3"/>
  <c r="G27" i="3" s="1"/>
  <c r="H27" i="3" s="1"/>
  <c r="K26" i="3"/>
  <c r="H26" i="3"/>
  <c r="G26" i="3"/>
  <c r="K25" i="3"/>
  <c r="G25" i="3"/>
  <c r="H25" i="3" s="1"/>
  <c r="K24" i="3"/>
  <c r="G24" i="3" s="1"/>
  <c r="H24" i="3" s="1"/>
  <c r="K23" i="3"/>
  <c r="G23" i="3" s="1"/>
  <c r="H23" i="3" s="1"/>
  <c r="K22" i="3"/>
  <c r="H22" i="3"/>
  <c r="G22" i="3"/>
  <c r="K21" i="3"/>
  <c r="G21" i="3"/>
  <c r="H21" i="3" s="1"/>
  <c r="K20" i="3"/>
  <c r="G20" i="3" s="1"/>
  <c r="H20" i="3" s="1"/>
  <c r="K19" i="3"/>
  <c r="G19" i="3" s="1"/>
  <c r="H19" i="3" s="1"/>
  <c r="K18" i="3"/>
  <c r="H18" i="3"/>
  <c r="G18" i="3"/>
  <c r="K17" i="3"/>
  <c r="G17" i="3"/>
  <c r="H17" i="3" s="1"/>
  <c r="K16" i="3"/>
  <c r="G16" i="3" s="1"/>
  <c r="H16" i="3" s="1"/>
  <c r="K15" i="3"/>
  <c r="G15" i="3" s="1"/>
  <c r="H15" i="3" s="1"/>
  <c r="K14" i="3"/>
  <c r="H14" i="3"/>
  <c r="G14" i="3"/>
  <c r="K13" i="3"/>
  <c r="G13" i="3"/>
  <c r="H13" i="3" s="1"/>
  <c r="K12" i="3"/>
  <c r="G12" i="3" s="1"/>
  <c r="H12" i="3" s="1"/>
  <c r="K11" i="3"/>
  <c r="K35" i="3" s="1"/>
  <c r="K40" i="3" s="1"/>
  <c r="G10" i="3"/>
  <c r="H10" i="3" s="1"/>
  <c r="K9" i="3"/>
  <c r="G9" i="3" s="1"/>
  <c r="I67" i="2"/>
  <c r="K58" i="2"/>
  <c r="G58" i="2"/>
  <c r="H58" i="2" s="1"/>
  <c r="K57" i="2"/>
  <c r="G57" i="2"/>
  <c r="H57" i="2" s="1"/>
  <c r="M39" i="2"/>
  <c r="L39" i="2"/>
  <c r="J39" i="2"/>
  <c r="I39" i="2"/>
  <c r="F39" i="2"/>
  <c r="C39" i="2"/>
  <c r="K38" i="2"/>
  <c r="G38" i="2" s="1"/>
  <c r="M36" i="2"/>
  <c r="M41" i="2" s="1"/>
  <c r="L36" i="2"/>
  <c r="L41" i="2" s="1"/>
  <c r="J36" i="2"/>
  <c r="J41" i="2" s="1"/>
  <c r="I36" i="2"/>
  <c r="I41" i="2" s="1"/>
  <c r="F36" i="2"/>
  <c r="F41" i="2" s="1"/>
  <c r="C36" i="2"/>
  <c r="C41" i="2" s="1"/>
  <c r="K35" i="2"/>
  <c r="G35" i="2"/>
  <c r="H35" i="2" s="1"/>
  <c r="K34" i="2"/>
  <c r="G34" i="2" s="1"/>
  <c r="H34" i="2" s="1"/>
  <c r="K33" i="2"/>
  <c r="G33" i="2" s="1"/>
  <c r="H33" i="2" s="1"/>
  <c r="K32" i="2"/>
  <c r="H32" i="2"/>
  <c r="G32" i="2"/>
  <c r="K31" i="2"/>
  <c r="G31" i="2"/>
  <c r="H31" i="2" s="1"/>
  <c r="K30" i="2"/>
  <c r="G30" i="2" s="1"/>
  <c r="H30" i="2" s="1"/>
  <c r="K29" i="2"/>
  <c r="G29" i="2" s="1"/>
  <c r="H29" i="2" s="1"/>
  <c r="K28" i="2"/>
  <c r="H28" i="2"/>
  <c r="G28" i="2"/>
  <c r="G27" i="2"/>
  <c r="H27" i="2" s="1"/>
  <c r="K26" i="2"/>
  <c r="G26" i="2" s="1"/>
  <c r="H26" i="2" s="1"/>
  <c r="K25" i="2"/>
  <c r="H25" i="2"/>
  <c r="G25" i="2"/>
  <c r="K24" i="2"/>
  <c r="G24" i="2"/>
  <c r="H24" i="2" s="1"/>
  <c r="K23" i="2"/>
  <c r="G23" i="2" s="1"/>
  <c r="H23" i="2" s="1"/>
  <c r="K22" i="2"/>
  <c r="G22" i="2" s="1"/>
  <c r="H22" i="2" s="1"/>
  <c r="K21" i="2"/>
  <c r="H21" i="2"/>
  <c r="G21" i="2"/>
  <c r="K20" i="2"/>
  <c r="G20" i="2"/>
  <c r="H20" i="2" s="1"/>
  <c r="K19" i="2"/>
  <c r="G19" i="2" s="1"/>
  <c r="H19" i="2" s="1"/>
  <c r="K18" i="2"/>
  <c r="G18" i="2" s="1"/>
  <c r="H18" i="2" s="1"/>
  <c r="K17" i="2"/>
  <c r="H17" i="2"/>
  <c r="G17" i="2"/>
  <c r="K16" i="2"/>
  <c r="G16" i="2"/>
  <c r="H16" i="2" s="1"/>
  <c r="K15" i="2"/>
  <c r="G15" i="2" s="1"/>
  <c r="H15" i="2" s="1"/>
  <c r="K14" i="2"/>
  <c r="G14" i="2" s="1"/>
  <c r="H14" i="2" s="1"/>
  <c r="K13" i="2"/>
  <c r="H13" i="2"/>
  <c r="G13" i="2"/>
  <c r="K12" i="2"/>
  <c r="G12" i="2"/>
  <c r="H12" i="2" s="1"/>
  <c r="K11" i="2"/>
  <c r="G11" i="2" s="1"/>
  <c r="H11" i="2" s="1"/>
  <c r="H10" i="2"/>
  <c r="G10" i="2"/>
  <c r="K9" i="2"/>
  <c r="K36" i="2" s="1"/>
  <c r="G9" i="2"/>
  <c r="G36" i="2" s="1"/>
  <c r="I66" i="1"/>
  <c r="K57" i="1"/>
  <c r="G57" i="1"/>
  <c r="H57" i="1" s="1"/>
  <c r="K56" i="1"/>
  <c r="G56" i="1"/>
  <c r="H56" i="1" s="1"/>
  <c r="J41" i="1"/>
  <c r="F41" i="1"/>
  <c r="M39" i="1"/>
  <c r="L39" i="1"/>
  <c r="K39" i="1"/>
  <c r="J39" i="1"/>
  <c r="I39" i="1"/>
  <c r="F39" i="1"/>
  <c r="C39" i="1"/>
  <c r="K38" i="1"/>
  <c r="G38" i="1" s="1"/>
  <c r="M36" i="1"/>
  <c r="M41" i="1" s="1"/>
  <c r="L36" i="1"/>
  <c r="L41" i="1" s="1"/>
  <c r="J36" i="1"/>
  <c r="I36" i="1"/>
  <c r="I41" i="1" s="1"/>
  <c r="F36" i="1"/>
  <c r="C36" i="1"/>
  <c r="C41" i="1" s="1"/>
  <c r="K35" i="1"/>
  <c r="H35" i="1"/>
  <c r="G35" i="1"/>
  <c r="K34" i="1"/>
  <c r="G34" i="1"/>
  <c r="H34" i="1" s="1"/>
  <c r="K33" i="1"/>
  <c r="G33" i="1" s="1"/>
  <c r="H33" i="1" s="1"/>
  <c r="K32" i="1"/>
  <c r="G32" i="1" s="1"/>
  <c r="H32" i="1" s="1"/>
  <c r="K31" i="1"/>
  <c r="H31" i="1"/>
  <c r="G31" i="1"/>
  <c r="K30" i="1"/>
  <c r="G30" i="1"/>
  <c r="H30" i="1" s="1"/>
  <c r="K29" i="1"/>
  <c r="G29" i="1" s="1"/>
  <c r="H29" i="1" s="1"/>
  <c r="K28" i="1"/>
  <c r="G28" i="1" s="1"/>
  <c r="H28" i="1" s="1"/>
  <c r="K27" i="1"/>
  <c r="H27" i="1"/>
  <c r="G27" i="1"/>
  <c r="K26" i="1"/>
  <c r="G26" i="1"/>
  <c r="H26" i="1" s="1"/>
  <c r="K25" i="1"/>
  <c r="G25" i="1" s="1"/>
  <c r="H25" i="1" s="1"/>
  <c r="K24" i="1"/>
  <c r="G24" i="1" s="1"/>
  <c r="H24" i="1" s="1"/>
  <c r="K23" i="1"/>
  <c r="H23" i="1"/>
  <c r="G23" i="1"/>
  <c r="K22" i="1"/>
  <c r="G22" i="1"/>
  <c r="H22" i="1" s="1"/>
  <c r="K21" i="1"/>
  <c r="G21" i="1" s="1"/>
  <c r="H21" i="1" s="1"/>
  <c r="K20" i="1"/>
  <c r="G20" i="1" s="1"/>
  <c r="H20" i="1" s="1"/>
  <c r="K19" i="1"/>
  <c r="H19" i="1"/>
  <c r="G19" i="1"/>
  <c r="K18" i="1"/>
  <c r="G18" i="1"/>
  <c r="H18" i="1" s="1"/>
  <c r="K17" i="1"/>
  <c r="G17" i="1" s="1"/>
  <c r="H17" i="1" s="1"/>
  <c r="K16" i="1"/>
  <c r="G16" i="1" s="1"/>
  <c r="H16" i="1" s="1"/>
  <c r="K15" i="1"/>
  <c r="H15" i="1"/>
  <c r="G15" i="1"/>
  <c r="K14" i="1"/>
  <c r="G14" i="1"/>
  <c r="H14" i="1" s="1"/>
  <c r="K13" i="1"/>
  <c r="G13" i="1" s="1"/>
  <c r="H13" i="1" s="1"/>
  <c r="K12" i="1"/>
  <c r="G12" i="1" s="1"/>
  <c r="H12" i="1" s="1"/>
  <c r="K11" i="1"/>
  <c r="H11" i="1"/>
  <c r="G11" i="1"/>
  <c r="H10" i="1"/>
  <c r="G10" i="1"/>
  <c r="K9" i="1"/>
  <c r="G9" i="1" s="1"/>
  <c r="K39" i="4" l="1"/>
  <c r="G8" i="4"/>
  <c r="H36" i="4"/>
  <c r="H37" i="4" s="1"/>
  <c r="H9" i="3"/>
  <c r="G38" i="3"/>
  <c r="H37" i="3"/>
  <c r="H38" i="3" s="1"/>
  <c r="G11" i="3"/>
  <c r="H11" i="3" s="1"/>
  <c r="G39" i="2"/>
  <c r="G41" i="2" s="1"/>
  <c r="H38" i="2"/>
  <c r="H39" i="2" s="1"/>
  <c r="H9" i="2"/>
  <c r="H36" i="2" s="1"/>
  <c r="K39" i="2"/>
  <c r="K41" i="2" s="1"/>
  <c r="H9" i="1"/>
  <c r="H36" i="1" s="1"/>
  <c r="G36" i="1"/>
  <c r="H38" i="1"/>
  <c r="H39" i="1" s="1"/>
  <c r="G39" i="1"/>
  <c r="K36" i="1"/>
  <c r="K41" i="1" s="1"/>
  <c r="H8" i="4" l="1"/>
  <c r="H34" i="4" s="1"/>
  <c r="H39" i="4" s="1"/>
  <c r="G34" i="4"/>
  <c r="G39" i="4" s="1"/>
  <c r="G35" i="3"/>
  <c r="G40" i="3" s="1"/>
  <c r="H35" i="3"/>
  <c r="H40" i="3" s="1"/>
  <c r="H41" i="2"/>
  <c r="G41" i="1"/>
  <c r="H41" i="1"/>
</calcChain>
</file>

<file path=xl/sharedStrings.xml><?xml version="1.0" encoding="utf-8"?>
<sst xmlns="http://schemas.openxmlformats.org/spreadsheetml/2006/main" count="444" uniqueCount="102">
  <si>
    <t>CUMPLIMIENTO DE NORMAS</t>
  </si>
  <si>
    <t>SEGUROS DE VIDA</t>
  </si>
  <si>
    <t>(al 31 de marzo de 2005, montos expresados en miles de pesos)</t>
  </si>
  <si>
    <t>SOCIEDAD</t>
  </si>
  <si>
    <t>PATRIMONIO</t>
  </si>
  <si>
    <t>ENDEUDAMIENTO</t>
  </si>
  <si>
    <t>OBLIGACION DE</t>
  </si>
  <si>
    <t>INVER.REPRES.</t>
  </si>
  <si>
    <t>SUPERAV.(DEF) DE</t>
  </si>
  <si>
    <t>INVERSIONES NO</t>
  </si>
  <si>
    <t>INVERSIONES</t>
  </si>
  <si>
    <t>DE RIESGO</t>
  </si>
  <si>
    <t>TOTAL</t>
  </si>
  <si>
    <t>FINANC.</t>
  </si>
  <si>
    <t>INVERTIR LAS RES.</t>
  </si>
  <si>
    <t>DE RES.TEC Y PAT.</t>
  </si>
  <si>
    <t>INV.REPRES.DE RES.</t>
  </si>
  <si>
    <t>REPRESENTATIVAS</t>
  </si>
  <si>
    <t>RES. PREVIS.</t>
  </si>
  <si>
    <t>RES. NO PREVIS.</t>
  </si>
  <si>
    <t>RES. ADIC.</t>
  </si>
  <si>
    <t>PAT. RIESGO</t>
  </si>
  <si>
    <t>TEC. Y PAT.RIESGO</t>
  </si>
  <si>
    <t xml:space="preserve">ABN Amro </t>
  </si>
  <si>
    <t>Ace (1)</t>
  </si>
  <si>
    <t>Altavida</t>
  </si>
  <si>
    <t>Banchile</t>
  </si>
  <si>
    <t>BBVA</t>
  </si>
  <si>
    <t>Bci</t>
  </si>
  <si>
    <t>Bice</t>
  </si>
  <si>
    <t xml:space="preserve">Cardif   </t>
  </si>
  <si>
    <t>Chilena Consolidada</t>
  </si>
  <si>
    <t xml:space="preserve">Cigna   </t>
  </si>
  <si>
    <t>CN Life</t>
  </si>
  <si>
    <t>Consorcio Nacional</t>
  </si>
  <si>
    <t xml:space="preserve">Construcción   </t>
  </si>
  <si>
    <t>Cruz del Sur</t>
  </si>
  <si>
    <t xml:space="preserve">Euroamérica </t>
  </si>
  <si>
    <t xml:space="preserve">Huelén </t>
  </si>
  <si>
    <t xml:space="preserve">ING </t>
  </si>
  <si>
    <t>Interamericana</t>
  </si>
  <si>
    <t>Interrrentas</t>
  </si>
  <si>
    <t xml:space="preserve">Mapfre  </t>
  </si>
  <si>
    <t>Metlife</t>
  </si>
  <si>
    <t>Ohio</t>
  </si>
  <si>
    <t>Penta</t>
  </si>
  <si>
    <t>Principal</t>
  </si>
  <si>
    <t>Renta Nacional</t>
  </si>
  <si>
    <t>Security</t>
  </si>
  <si>
    <t xml:space="preserve">Vida Corp  </t>
  </si>
  <si>
    <t xml:space="preserve">TOTAL ASEGURADORAS    </t>
  </si>
  <si>
    <t>Caja Reaseguradora</t>
  </si>
  <si>
    <t>TOTAL REASEGURADORAS</t>
  </si>
  <si>
    <t>(1)</t>
  </si>
  <si>
    <t>La compañía presenta déficit de inversiones representativas de patrimonio de riesgo ascendente a M$1.393.101, producto de una inadecuada diversificación de las inversiones en un depósito bancario, situación que fue corregida en el mes de mayo. Cabe señalar que se aprobó la existencia de esta compañía por Resolución Exenta Nª 125, de 07.03.2005.</t>
  </si>
  <si>
    <t>MUTUALIDADES</t>
  </si>
  <si>
    <t>VENTAS INSTITUCIONALES EXCLUSIVAMENTE</t>
  </si>
  <si>
    <t xml:space="preserve">             ENDEUDAMIENTO</t>
  </si>
  <si>
    <t>OBLIGACION</t>
  </si>
  <si>
    <t>SUPERAVIT (DEF)</t>
  </si>
  <si>
    <t>DE INV.LAS</t>
  </si>
  <si>
    <t>REPRESENT.</t>
  </si>
  <si>
    <t>DE INV.REPRES.</t>
  </si>
  <si>
    <t>DE INV.EL</t>
  </si>
  <si>
    <t>R.TECNICAS</t>
  </si>
  <si>
    <t>DE RES.TEC</t>
  </si>
  <si>
    <t>DE PATRIMONIO</t>
  </si>
  <si>
    <t>Mutualidad de Carabineros</t>
  </si>
  <si>
    <t>Mutualidad del Ejército y Aviaciòn</t>
  </si>
  <si>
    <t>VENTAS INSTITUCIONALES Y NO INSTITUCIONALES SIMULTANEAMENTE</t>
  </si>
  <si>
    <t>SUPERAVIT (DEFICIT)</t>
  </si>
  <si>
    <t xml:space="preserve"> INV.LAS R.TEC.</t>
  </si>
  <si>
    <t>TOTALES</t>
  </si>
  <si>
    <t>Y  PAT.RIESGO</t>
  </si>
  <si>
    <t>Y  PATRIMONIO</t>
  </si>
  <si>
    <t>REPRES.DE R.TECN.</t>
  </si>
  <si>
    <t>DE RES.TECNICAS</t>
  </si>
  <si>
    <t>VENTAS NO INST.</t>
  </si>
  <si>
    <t>VENTAS INST.</t>
  </si>
  <si>
    <t>Y PATRIMONIO</t>
  </si>
  <si>
    <t>Mutual de Seguros</t>
  </si>
  <si>
    <t>(al 30 de junio de 2005, montos expresados en miles de pesos)</t>
  </si>
  <si>
    <t xml:space="preserve">Ace </t>
  </si>
  <si>
    <t>Bice (1)</t>
  </si>
  <si>
    <t>Security Previsión</t>
  </si>
  <si>
    <t>La compañía presenta déficit de inversiones representativas de patrimonio de riesgo ascendente a M$4.195.981. De acuerdo a lo señalado por la aseguradora dicho déficit se produjo por una insuficiente diversificación de las inversiones en bonos de sociedades securitizadoras, situación que fue solucionada con fecha 13 de julio de 2005.</t>
  </si>
  <si>
    <t xml:space="preserve"> </t>
  </si>
  <si>
    <t>Mutualidad del Ejército y Aviación</t>
  </si>
  <si>
    <t xml:space="preserve">OBLIGACION DE </t>
  </si>
  <si>
    <t xml:space="preserve">INVERSIONES </t>
  </si>
  <si>
    <t>(al 30 de septiembre de 2005, montos expresados en miles de pesos)</t>
  </si>
  <si>
    <t>Interrentas</t>
  </si>
  <si>
    <t>Security Previsión (1)</t>
  </si>
  <si>
    <t xml:space="preserve">La compañía presenta déficit de inversiones representativas de patrimonio de riesgo ascendente a M$ 776.190. De acuerdo a lo señalado por la compañía, dicho déficit se produjo por un exceso de inversión en instrumentos del Banco Estado por sobre el límite de 10% por emisor, respecto del patrimonio de riesgo y de las reservas, situación que ya se encuentra solucionada. </t>
  </si>
  <si>
    <t>(al 31 de diciembre de 2005, montos expresados en miles de pesos)</t>
  </si>
  <si>
    <t xml:space="preserve">RESERVAS </t>
  </si>
  <si>
    <t>TECNICAS</t>
  </si>
  <si>
    <t>Met Life</t>
  </si>
  <si>
    <t>Ohio National</t>
  </si>
  <si>
    <t xml:space="preserve">Security Previsión </t>
  </si>
  <si>
    <t>Mut. de Carabineros</t>
  </si>
  <si>
    <t>Mut. Ejérc. y Aviac.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</si>
</sst>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00"/>
  </numFmts>
  <fonts count="11" x14ac:knownFonts="1">
    <font>
      <sz val="11"/>
      <color theme="1"/>
      <name val="Calibri"/>
      <family val="2"/>
      <scheme val="minor"/>
    </font>
    <font>
      <b/>
      <sz val="10"/>
      <name val="MS Sans Serif"/>
      <family val="2"/>
    </font>
    <font>
      <sz val="10"/>
      <name val="MS Sans Serif"/>
    </font>
    <font>
      <sz val="10"/>
      <name val="MS Sans Serif"/>
      <family val="2"/>
    </font>
    <font>
      <sz val="8"/>
      <name val="MS Sans Serif"/>
    </font>
    <font>
      <sz val="8"/>
      <name val="MS Sans Serif"/>
      <family val="2"/>
    </font>
    <font>
      <sz val="10"/>
      <color rgb="FFFF0000"/>
      <name val="MS Sans Serif"/>
      <family val="2"/>
    </font>
    <font>
      <sz val="9"/>
      <name val="MS Sans Serif"/>
      <family val="2"/>
    </font>
    <font>
      <sz val="9"/>
      <name val="MS Sans Serif"/>
    </font>
    <font>
      <b/>
      <sz val="9"/>
      <name val="MS Sans Serif"/>
      <family val="2"/>
    </font>
    <font>
      <sz val="10"/>
      <name val="Times New Roman"/>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84">
    <xf numFmtId="0" fontId="0" fillId="0" borderId="0" xfId="0"/>
    <xf numFmtId="3" fontId="1" fillId="0" borderId="0" xfId="0" applyNumberFormat="1" applyFont="1" applyFill="1" applyBorder="1" applyAlignment="1">
      <alignment horizontal="left"/>
    </xf>
    <xf numFmtId="3" fontId="1" fillId="0" borderId="0" xfId="0" applyNumberFormat="1" applyFont="1" applyFill="1" applyBorder="1" applyAlignment="1">
      <alignment horizontal="right"/>
    </xf>
    <xf numFmtId="3" fontId="1" fillId="0" borderId="0" xfId="0" applyNumberFormat="1" applyFont="1" applyFill="1" applyBorder="1" applyAlignment="1"/>
    <xf numFmtId="3" fontId="2" fillId="0" borderId="0" xfId="0" applyNumberFormat="1" applyFont="1" applyFill="1" applyBorder="1" applyAlignment="1">
      <alignment horizontal="right"/>
    </xf>
    <xf numFmtId="3" fontId="3" fillId="0" borderId="0" xfId="0" applyNumberFormat="1" applyFont="1" applyFill="1" applyBorder="1" applyAlignment="1">
      <alignment horizontal="left"/>
    </xf>
    <xf numFmtId="3" fontId="1" fillId="0" borderId="0" xfId="0" quotePrefix="1" applyNumberFormat="1" applyFont="1" applyFill="1" applyBorder="1" applyAlignment="1">
      <alignment horizontal="left"/>
    </xf>
    <xf numFmtId="3" fontId="3" fillId="0" borderId="0" xfId="0" quotePrefix="1" applyNumberFormat="1" applyFont="1" applyFill="1" applyBorder="1" applyAlignment="1">
      <alignment horizontal="left"/>
    </xf>
    <xf numFmtId="3" fontId="2" fillId="0" borderId="1" xfId="0" applyNumberFormat="1" applyFont="1" applyFill="1" applyBorder="1" applyAlignment="1">
      <alignment horizontal="right"/>
    </xf>
    <xf numFmtId="3" fontId="4" fillId="0" borderId="2" xfId="0" applyNumberFormat="1" applyFont="1" applyFill="1" applyBorder="1" applyAlignment="1">
      <alignment horizontal="left"/>
    </xf>
    <xf numFmtId="3" fontId="4" fillId="0" borderId="2" xfId="0" applyNumberFormat="1" applyFont="1" applyFill="1" applyBorder="1" applyAlignment="1">
      <alignment horizontal="right"/>
    </xf>
    <xf numFmtId="3" fontId="4" fillId="0" borderId="2" xfId="0" quotePrefix="1" applyNumberFormat="1" applyFont="1" applyFill="1" applyBorder="1" applyAlignment="1">
      <alignment horizontal="right"/>
    </xf>
    <xf numFmtId="3" fontId="4" fillId="0" borderId="0" xfId="0" quotePrefix="1" applyNumberFormat="1" applyFont="1" applyFill="1" applyBorder="1" applyAlignment="1">
      <alignment horizontal="right"/>
    </xf>
    <xf numFmtId="3" fontId="4" fillId="0" borderId="0" xfId="0" applyNumberFormat="1" applyFont="1" applyFill="1" applyBorder="1" applyAlignment="1">
      <alignment horizontal="right"/>
    </xf>
    <xf numFmtId="3" fontId="5" fillId="0" borderId="0" xfId="0" applyNumberFormat="1" applyFont="1" applyFill="1" applyBorder="1" applyAlignment="1">
      <alignment horizontal="right" vertical="center"/>
    </xf>
    <xf numFmtId="3" fontId="5" fillId="0" borderId="0" xfId="0" applyNumberFormat="1" applyFont="1" applyFill="1" applyBorder="1" applyAlignment="1">
      <alignment horizontal="right"/>
    </xf>
    <xf numFmtId="3" fontId="4" fillId="0" borderId="1" xfId="0" quotePrefix="1" applyNumberFormat="1" applyFont="1" applyFill="1" applyBorder="1" applyAlignment="1">
      <alignment horizontal="right"/>
    </xf>
    <xf numFmtId="3" fontId="4" fillId="0" borderId="1" xfId="0" applyNumberFormat="1" applyFont="1" applyFill="1" applyBorder="1" applyAlignment="1">
      <alignment horizontal="right"/>
    </xf>
    <xf numFmtId="3" fontId="4" fillId="0" borderId="0" xfId="0" quotePrefix="1" applyNumberFormat="1" applyFont="1" applyFill="1" applyBorder="1" applyAlignment="1">
      <alignment horizontal="center"/>
    </xf>
    <xf numFmtId="4" fontId="2" fillId="0" borderId="0" xfId="0" applyNumberFormat="1" applyFont="1" applyFill="1" applyBorder="1" applyAlignment="1">
      <alignment horizontal="right"/>
    </xf>
    <xf numFmtId="3" fontId="3" fillId="0" borderId="0" xfId="0" applyNumberFormat="1" applyFont="1" applyFill="1" applyBorder="1" applyAlignment="1">
      <alignment horizontal="right"/>
    </xf>
    <xf numFmtId="164" fontId="2" fillId="0" borderId="0" xfId="0" applyNumberFormat="1" applyFont="1" applyFill="1" applyBorder="1" applyAlignment="1">
      <alignment horizontal="right"/>
    </xf>
    <xf numFmtId="4" fontId="3" fillId="0" borderId="0" xfId="0" applyNumberFormat="1" applyFont="1" applyFill="1" applyBorder="1" applyAlignment="1">
      <alignment horizontal="right"/>
    </xf>
    <xf numFmtId="3" fontId="6" fillId="0" borderId="0" xfId="0" applyNumberFormat="1" applyFont="1" applyFill="1" applyBorder="1" applyAlignment="1">
      <alignment horizontal="right"/>
    </xf>
    <xf numFmtId="3" fontId="4" fillId="0" borderId="3" xfId="0" quotePrefix="1" applyNumberFormat="1" applyFont="1" applyFill="1" applyBorder="1" applyAlignment="1">
      <alignment horizontal="left"/>
    </xf>
    <xf numFmtId="3" fontId="2" fillId="0" borderId="3" xfId="0" applyNumberFormat="1" applyFont="1" applyFill="1" applyBorder="1" applyAlignment="1">
      <alignment horizontal="right"/>
    </xf>
    <xf numFmtId="4" fontId="2" fillId="0" borderId="3" xfId="0" applyNumberFormat="1" applyFont="1" applyFill="1" applyBorder="1" applyAlignment="1">
      <alignment horizontal="right"/>
    </xf>
    <xf numFmtId="3" fontId="4" fillId="0" borderId="0" xfId="0" applyNumberFormat="1" applyFont="1" applyFill="1" applyBorder="1" applyAlignment="1">
      <alignment horizontal="left"/>
    </xf>
    <xf numFmtId="3" fontId="2" fillId="0" borderId="0" xfId="0" applyNumberFormat="1" applyFont="1" applyFill="1" applyBorder="1" applyAlignment="1">
      <alignment horizontal="left"/>
    </xf>
    <xf numFmtId="3" fontId="5" fillId="0" borderId="3" xfId="0" applyNumberFormat="1" applyFont="1" applyFill="1" applyBorder="1" applyAlignment="1">
      <alignment horizontal="left"/>
    </xf>
    <xf numFmtId="3" fontId="2" fillId="0" borderId="1" xfId="0" applyNumberFormat="1" applyFont="1" applyFill="1" applyBorder="1" applyAlignment="1">
      <alignment horizontal="left"/>
    </xf>
    <xf numFmtId="4" fontId="2" fillId="0" borderId="1" xfId="0" applyNumberFormat="1" applyFont="1" applyFill="1" applyBorder="1" applyAlignment="1">
      <alignment horizontal="right"/>
    </xf>
    <xf numFmtId="3" fontId="3" fillId="0" borderId="1" xfId="0" applyNumberFormat="1" applyFont="1" applyFill="1" applyBorder="1" applyAlignment="1">
      <alignment horizontal="right"/>
    </xf>
    <xf numFmtId="3" fontId="7" fillId="0" borderId="0" xfId="0" applyNumberFormat="1" applyFont="1" applyFill="1" applyBorder="1" applyAlignment="1">
      <alignment horizontal="left" vertical="top"/>
    </xf>
    <xf numFmtId="3" fontId="7" fillId="0" borderId="0" xfId="0" quotePrefix="1" applyNumberFormat="1" applyFont="1" applyFill="1" applyBorder="1" applyAlignment="1">
      <alignment horizontal="left" vertical="top"/>
    </xf>
    <xf numFmtId="0" fontId="2" fillId="0" borderId="0" xfId="0" applyFont="1" applyFill="1" applyBorder="1"/>
    <xf numFmtId="0" fontId="2" fillId="0" borderId="0" xfId="0" quotePrefix="1" applyFont="1" applyFill="1" applyBorder="1" applyAlignment="1">
      <alignment horizontal="left"/>
    </xf>
    <xf numFmtId="0" fontId="1" fillId="0" borderId="0" xfId="0" quotePrefix="1" applyFont="1" applyFill="1" applyBorder="1" applyAlignment="1">
      <alignment horizontal="left"/>
    </xf>
    <xf numFmtId="17" fontId="3" fillId="0" borderId="0" xfId="0" quotePrefix="1" applyNumberFormat="1" applyFont="1" applyFill="1" applyBorder="1" applyAlignment="1">
      <alignment horizontal="left"/>
    </xf>
    <xf numFmtId="0" fontId="4" fillId="0" borderId="2" xfId="0" applyFont="1" applyFill="1" applyBorder="1"/>
    <xf numFmtId="0" fontId="4" fillId="0" borderId="3" xfId="0" applyFont="1" applyFill="1" applyBorder="1" applyAlignment="1">
      <alignment horizontal="center"/>
    </xf>
    <xf numFmtId="0" fontId="4" fillId="0" borderId="2" xfId="0" applyFont="1" applyFill="1" applyBorder="1" applyAlignment="1">
      <alignment horizontal="right"/>
    </xf>
    <xf numFmtId="0" fontId="4" fillId="0" borderId="2" xfId="0" quotePrefix="1" applyFont="1" applyFill="1" applyBorder="1" applyAlignment="1">
      <alignment horizontal="right"/>
    </xf>
    <xf numFmtId="0" fontId="4" fillId="0" borderId="0" xfId="0" applyFont="1" applyFill="1" applyBorder="1"/>
    <xf numFmtId="0" fontId="4" fillId="0" borderId="0" xfId="0" applyFont="1" applyFill="1" applyBorder="1" applyAlignment="1">
      <alignment horizontal="right"/>
    </xf>
    <xf numFmtId="0" fontId="4" fillId="0" borderId="1" xfId="0" applyFont="1" applyFill="1" applyBorder="1"/>
    <xf numFmtId="0" fontId="4" fillId="0" borderId="1" xfId="0" applyFont="1" applyFill="1" applyBorder="1" applyAlignment="1">
      <alignment horizontal="right"/>
    </xf>
    <xf numFmtId="0" fontId="4" fillId="0" borderId="1" xfId="0" quotePrefix="1" applyFont="1" applyFill="1" applyBorder="1" applyAlignment="1">
      <alignment horizontal="right"/>
    </xf>
    <xf numFmtId="2" fontId="4" fillId="0" borderId="0" xfId="0" applyNumberFormat="1" applyFont="1" applyFill="1" applyBorder="1"/>
    <xf numFmtId="3" fontId="4" fillId="0" borderId="0" xfId="0" applyNumberFormat="1" applyFont="1" applyFill="1" applyBorder="1" applyAlignment="1">
      <alignment horizontal="center"/>
    </xf>
    <xf numFmtId="0" fontId="3" fillId="0" borderId="0" xfId="0" applyFont="1" applyFill="1" applyBorder="1" applyAlignment="1">
      <alignment horizontal="left"/>
    </xf>
    <xf numFmtId="0" fontId="3" fillId="0" borderId="0" xfId="0" applyFont="1" applyFill="1" applyBorder="1"/>
    <xf numFmtId="2" fontId="4" fillId="0" borderId="0" xfId="0" applyNumberFormat="1" applyFont="1" applyFill="1" applyBorder="1" applyAlignment="1">
      <alignment horizontal="right"/>
    </xf>
    <xf numFmtId="165" fontId="4" fillId="0" borderId="0" xfId="0" applyNumberFormat="1" applyFont="1" applyFill="1" applyBorder="1" applyAlignment="1">
      <alignment horizontal="right"/>
    </xf>
    <xf numFmtId="3" fontId="4" fillId="0" borderId="0" xfId="0" applyNumberFormat="1" applyFont="1" applyFill="1" applyBorder="1"/>
    <xf numFmtId="0" fontId="3" fillId="0" borderId="0" xfId="0" quotePrefix="1" applyFont="1" applyFill="1" applyBorder="1" applyAlignment="1">
      <alignment horizontal="left"/>
    </xf>
    <xf numFmtId="165" fontId="4" fillId="0" borderId="0" xfId="0" applyNumberFormat="1" applyFont="1" applyFill="1" applyBorder="1"/>
    <xf numFmtId="2" fontId="2" fillId="0" borderId="0" xfId="0" applyNumberFormat="1" applyFont="1" applyFill="1" applyBorder="1"/>
    <xf numFmtId="3" fontId="2" fillId="0" borderId="0" xfId="0" applyNumberFormat="1" applyFont="1" applyFill="1" applyBorder="1"/>
    <xf numFmtId="2" fontId="4" fillId="0" borderId="3" xfId="0" applyNumberFormat="1" applyFont="1" applyFill="1" applyBorder="1" applyAlignment="1">
      <alignment horizontal="center"/>
    </xf>
    <xf numFmtId="2" fontId="4" fillId="0" borderId="1" xfId="0" applyNumberFormat="1" applyFont="1" applyFill="1" applyBorder="1"/>
    <xf numFmtId="3" fontId="2" fillId="0" borderId="0" xfId="0" quotePrefix="1" applyNumberFormat="1" applyFont="1" applyFill="1" applyBorder="1" applyAlignment="1">
      <alignment horizontal="left"/>
    </xf>
    <xf numFmtId="3" fontId="4" fillId="0" borderId="2" xfId="0" applyNumberFormat="1" applyFont="1" applyFill="1" applyBorder="1" applyAlignment="1">
      <alignment horizontal="center"/>
    </xf>
    <xf numFmtId="3" fontId="5" fillId="0" borderId="0" xfId="0" applyNumberFormat="1" applyFont="1" applyFill="1" applyBorder="1" applyAlignment="1">
      <alignment horizontal="center" vertical="center"/>
    </xf>
    <xf numFmtId="3" fontId="4" fillId="0" borderId="1" xfId="0" quotePrefix="1" applyNumberFormat="1" applyFont="1" applyFill="1" applyBorder="1" applyAlignment="1">
      <alignment horizontal="center"/>
    </xf>
    <xf numFmtId="0" fontId="4" fillId="0" borderId="2" xfId="0" applyFont="1" applyFill="1" applyBorder="1" applyAlignment="1">
      <alignment horizontal="center"/>
    </xf>
    <xf numFmtId="0" fontId="4" fillId="0" borderId="2" xfId="0" quotePrefix="1" applyFont="1" applyFill="1" applyBorder="1" applyAlignment="1">
      <alignment horizontal="center"/>
    </xf>
    <xf numFmtId="0" fontId="4" fillId="0" borderId="0" xfId="0" applyFont="1" applyFill="1" applyBorder="1" applyAlignment="1">
      <alignment horizontal="center"/>
    </xf>
    <xf numFmtId="0" fontId="4" fillId="0" borderId="1" xfId="0" applyFont="1" applyFill="1" applyBorder="1" applyAlignment="1">
      <alignment horizontal="center"/>
    </xf>
    <xf numFmtId="0" fontId="4" fillId="0" borderId="1" xfId="0" quotePrefix="1" applyFont="1" applyFill="1" applyBorder="1" applyAlignment="1">
      <alignment horizontal="center"/>
    </xf>
    <xf numFmtId="2" fontId="4" fillId="0" borderId="0" xfId="0" applyNumberFormat="1" applyFont="1" applyFill="1" applyBorder="1" applyAlignment="1">
      <alignment horizontal="center"/>
    </xf>
    <xf numFmtId="0" fontId="4" fillId="0" borderId="0" xfId="0" applyNumberFormat="1" applyFont="1" applyFill="1" applyBorder="1" applyAlignment="1">
      <alignment horizontal="center"/>
    </xf>
    <xf numFmtId="3" fontId="4" fillId="0" borderId="2" xfId="0" quotePrefix="1" applyNumberFormat="1" applyFont="1" applyFill="1" applyBorder="1" applyAlignment="1">
      <alignment horizontal="center"/>
    </xf>
    <xf numFmtId="3" fontId="4" fillId="0" borderId="1" xfId="0" applyNumberFormat="1" applyFont="1" applyFill="1" applyBorder="1" applyAlignment="1">
      <alignment horizontal="center"/>
    </xf>
    <xf numFmtId="0" fontId="10" fillId="0" borderId="0" xfId="0" applyFont="1" applyFill="1" applyBorder="1"/>
    <xf numFmtId="3" fontId="4" fillId="0" borderId="3" xfId="0" quotePrefix="1" applyNumberFormat="1" applyFont="1" applyFill="1" applyBorder="1" applyAlignment="1">
      <alignment horizontal="center"/>
    </xf>
    <xf numFmtId="3" fontId="2" fillId="0" borderId="0" xfId="0" applyNumberFormat="1" applyFont="1" applyFill="1" applyBorder="1" applyAlignment="1">
      <alignment horizontal="left"/>
    </xf>
    <xf numFmtId="3" fontId="3" fillId="0" borderId="0" xfId="0" quotePrefix="1" applyNumberFormat="1" applyFont="1" applyFill="1" applyBorder="1" applyAlignment="1">
      <alignment horizontal="left"/>
    </xf>
    <xf numFmtId="0" fontId="2" fillId="0" borderId="0" xfId="0" applyFont="1" applyFill="1" applyBorder="1" applyAlignment="1">
      <alignment horizontal="left"/>
    </xf>
    <xf numFmtId="3" fontId="8" fillId="0" borderId="0" xfId="0" applyNumberFormat="1" applyFont="1" applyFill="1" applyBorder="1" applyAlignment="1">
      <alignment horizontal="justify" vertical="top" wrapText="1"/>
    </xf>
    <xf numFmtId="3" fontId="9" fillId="0" borderId="0" xfId="0" applyNumberFormat="1" applyFont="1" applyFill="1" applyBorder="1" applyAlignment="1">
      <alignment horizontal="justify" vertical="top" wrapText="1"/>
    </xf>
    <xf numFmtId="3" fontId="8" fillId="0" borderId="0" xfId="0" applyNumberFormat="1" applyFont="1" applyFill="1" applyBorder="1" applyAlignment="1">
      <alignment horizontal="left" vertical="top" wrapText="1"/>
    </xf>
    <xf numFmtId="0" fontId="2" fillId="0" borderId="0" xfId="0" applyFont="1" applyFill="1" applyBorder="1" applyAlignment="1"/>
    <xf numFmtId="3" fontId="2" fillId="0" borderId="0" xfId="0" applyNumberFormat="1"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tabSelected="1" workbookViewId="0"/>
  </sheetViews>
  <sheetFormatPr baseColWidth="10" defaultRowHeight="12.75" x14ac:dyDescent="0.2"/>
  <cols>
    <col min="1" max="1" width="2.5703125" style="4" customWidth="1"/>
    <col min="2" max="2" width="22.42578125" style="4" customWidth="1"/>
    <col min="3" max="3" width="12.140625" style="4" bestFit="1" customWidth="1"/>
    <col min="4" max="4" width="8.140625" style="4" customWidth="1"/>
    <col min="5" max="5" width="8.5703125" style="4" customWidth="1"/>
    <col min="6" max="6" width="17" style="4" bestFit="1" customWidth="1"/>
    <col min="7" max="7" width="16.7109375" style="4" bestFit="1" customWidth="1"/>
    <col min="8" max="8" width="18" style="4" bestFit="1" customWidth="1"/>
    <col min="9" max="9" width="17.7109375" style="4" bestFit="1" customWidth="1"/>
    <col min="10" max="10" width="13.5703125" style="4" customWidth="1"/>
    <col min="11" max="11" width="18.5703125" style="4" bestFit="1" customWidth="1"/>
    <col min="12" max="12" width="15.5703125" style="4" customWidth="1"/>
    <col min="13" max="13" width="13.5703125" style="4" customWidth="1"/>
    <col min="14" max="256" width="11.42578125" style="4"/>
    <col min="257" max="257" width="2.5703125" style="4" customWidth="1"/>
    <col min="258" max="258" width="22.42578125" style="4" customWidth="1"/>
    <col min="259" max="259" width="12.140625" style="4" bestFit="1" customWidth="1"/>
    <col min="260" max="260" width="8.140625" style="4" customWidth="1"/>
    <col min="261" max="261" width="8.5703125" style="4" customWidth="1"/>
    <col min="262" max="262" width="17" style="4" bestFit="1" customWidth="1"/>
    <col min="263" max="263" width="16.7109375" style="4" bestFit="1" customWidth="1"/>
    <col min="264" max="264" width="18" style="4" bestFit="1" customWidth="1"/>
    <col min="265" max="265" width="17.7109375" style="4" bestFit="1" customWidth="1"/>
    <col min="266" max="266" width="13.5703125" style="4" customWidth="1"/>
    <col min="267" max="267" width="18.5703125" style="4" bestFit="1" customWidth="1"/>
    <col min="268" max="268" width="15.5703125" style="4" customWidth="1"/>
    <col min="269" max="269" width="13.5703125" style="4" customWidth="1"/>
    <col min="270" max="512" width="11.42578125" style="4"/>
    <col min="513" max="513" width="2.5703125" style="4" customWidth="1"/>
    <col min="514" max="514" width="22.42578125" style="4" customWidth="1"/>
    <col min="515" max="515" width="12.140625" style="4" bestFit="1" customWidth="1"/>
    <col min="516" max="516" width="8.140625" style="4" customWidth="1"/>
    <col min="517" max="517" width="8.5703125" style="4" customWidth="1"/>
    <col min="518" max="518" width="17" style="4" bestFit="1" customWidth="1"/>
    <col min="519" max="519" width="16.7109375" style="4" bestFit="1" customWidth="1"/>
    <col min="520" max="520" width="18" style="4" bestFit="1" customWidth="1"/>
    <col min="521" max="521" width="17.7109375" style="4" bestFit="1" customWidth="1"/>
    <col min="522" max="522" width="13.5703125" style="4" customWidth="1"/>
    <col min="523" max="523" width="18.5703125" style="4" bestFit="1" customWidth="1"/>
    <col min="524" max="524" width="15.5703125" style="4" customWidth="1"/>
    <col min="525" max="525" width="13.5703125" style="4" customWidth="1"/>
    <col min="526" max="768" width="11.42578125" style="4"/>
    <col min="769" max="769" width="2.5703125" style="4" customWidth="1"/>
    <col min="770" max="770" width="22.42578125" style="4" customWidth="1"/>
    <col min="771" max="771" width="12.140625" style="4" bestFit="1" customWidth="1"/>
    <col min="772" max="772" width="8.140625" style="4" customWidth="1"/>
    <col min="773" max="773" width="8.5703125" style="4" customWidth="1"/>
    <col min="774" max="774" width="17" style="4" bestFit="1" customWidth="1"/>
    <col min="775" max="775" width="16.7109375" style="4" bestFit="1" customWidth="1"/>
    <col min="776" max="776" width="18" style="4" bestFit="1" customWidth="1"/>
    <col min="777" max="777" width="17.7109375" style="4" bestFit="1" customWidth="1"/>
    <col min="778" max="778" width="13.5703125" style="4" customWidth="1"/>
    <col min="779" max="779" width="18.5703125" style="4" bestFit="1" customWidth="1"/>
    <col min="780" max="780" width="15.5703125" style="4" customWidth="1"/>
    <col min="781" max="781" width="13.5703125" style="4" customWidth="1"/>
    <col min="782" max="1024" width="11.42578125" style="4"/>
    <col min="1025" max="1025" width="2.5703125" style="4" customWidth="1"/>
    <col min="1026" max="1026" width="22.42578125" style="4" customWidth="1"/>
    <col min="1027" max="1027" width="12.140625" style="4" bestFit="1" customWidth="1"/>
    <col min="1028" max="1028" width="8.140625" style="4" customWidth="1"/>
    <col min="1029" max="1029" width="8.5703125" style="4" customWidth="1"/>
    <col min="1030" max="1030" width="17" style="4" bestFit="1" customWidth="1"/>
    <col min="1031" max="1031" width="16.7109375" style="4" bestFit="1" customWidth="1"/>
    <col min="1032" max="1032" width="18" style="4" bestFit="1" customWidth="1"/>
    <col min="1033" max="1033" width="17.7109375" style="4" bestFit="1" customWidth="1"/>
    <col min="1034" max="1034" width="13.5703125" style="4" customWidth="1"/>
    <col min="1035" max="1035" width="18.5703125" style="4" bestFit="1" customWidth="1"/>
    <col min="1036" max="1036" width="15.5703125" style="4" customWidth="1"/>
    <col min="1037" max="1037" width="13.5703125" style="4" customWidth="1"/>
    <col min="1038" max="1280" width="11.42578125" style="4"/>
    <col min="1281" max="1281" width="2.5703125" style="4" customWidth="1"/>
    <col min="1282" max="1282" width="22.42578125" style="4" customWidth="1"/>
    <col min="1283" max="1283" width="12.140625" style="4" bestFit="1" customWidth="1"/>
    <col min="1284" max="1284" width="8.140625" style="4" customWidth="1"/>
    <col min="1285" max="1285" width="8.5703125" style="4" customWidth="1"/>
    <col min="1286" max="1286" width="17" style="4" bestFit="1" customWidth="1"/>
    <col min="1287" max="1287" width="16.7109375" style="4" bestFit="1" customWidth="1"/>
    <col min="1288" max="1288" width="18" style="4" bestFit="1" customWidth="1"/>
    <col min="1289" max="1289" width="17.7109375" style="4" bestFit="1" customWidth="1"/>
    <col min="1290" max="1290" width="13.5703125" style="4" customWidth="1"/>
    <col min="1291" max="1291" width="18.5703125" style="4" bestFit="1" customWidth="1"/>
    <col min="1292" max="1292" width="15.5703125" style="4" customWidth="1"/>
    <col min="1293" max="1293" width="13.5703125" style="4" customWidth="1"/>
    <col min="1294" max="1536" width="11.42578125" style="4"/>
    <col min="1537" max="1537" width="2.5703125" style="4" customWidth="1"/>
    <col min="1538" max="1538" width="22.42578125" style="4" customWidth="1"/>
    <col min="1539" max="1539" width="12.140625" style="4" bestFit="1" customWidth="1"/>
    <col min="1540" max="1540" width="8.140625" style="4" customWidth="1"/>
    <col min="1541" max="1541" width="8.5703125" style="4" customWidth="1"/>
    <col min="1542" max="1542" width="17" style="4" bestFit="1" customWidth="1"/>
    <col min="1543" max="1543" width="16.7109375" style="4" bestFit="1" customWidth="1"/>
    <col min="1544" max="1544" width="18" style="4" bestFit="1" customWidth="1"/>
    <col min="1545" max="1545" width="17.7109375" style="4" bestFit="1" customWidth="1"/>
    <col min="1546" max="1546" width="13.5703125" style="4" customWidth="1"/>
    <col min="1547" max="1547" width="18.5703125" style="4" bestFit="1" customWidth="1"/>
    <col min="1548" max="1548" width="15.5703125" style="4" customWidth="1"/>
    <col min="1549" max="1549" width="13.5703125" style="4" customWidth="1"/>
    <col min="1550" max="1792" width="11.42578125" style="4"/>
    <col min="1793" max="1793" width="2.5703125" style="4" customWidth="1"/>
    <col min="1794" max="1794" width="22.42578125" style="4" customWidth="1"/>
    <col min="1795" max="1795" width="12.140625" style="4" bestFit="1" customWidth="1"/>
    <col min="1796" max="1796" width="8.140625" style="4" customWidth="1"/>
    <col min="1797" max="1797" width="8.5703125" style="4" customWidth="1"/>
    <col min="1798" max="1798" width="17" style="4" bestFit="1" customWidth="1"/>
    <col min="1799" max="1799" width="16.7109375" style="4" bestFit="1" customWidth="1"/>
    <col min="1800" max="1800" width="18" style="4" bestFit="1" customWidth="1"/>
    <col min="1801" max="1801" width="17.7109375" style="4" bestFit="1" customWidth="1"/>
    <col min="1802" max="1802" width="13.5703125" style="4" customWidth="1"/>
    <col min="1803" max="1803" width="18.5703125" style="4" bestFit="1" customWidth="1"/>
    <col min="1804" max="1804" width="15.5703125" style="4" customWidth="1"/>
    <col min="1805" max="1805" width="13.5703125" style="4" customWidth="1"/>
    <col min="1806" max="2048" width="11.42578125" style="4"/>
    <col min="2049" max="2049" width="2.5703125" style="4" customWidth="1"/>
    <col min="2050" max="2050" width="22.42578125" style="4" customWidth="1"/>
    <col min="2051" max="2051" width="12.140625" style="4" bestFit="1" customWidth="1"/>
    <col min="2052" max="2052" width="8.140625" style="4" customWidth="1"/>
    <col min="2053" max="2053" width="8.5703125" style="4" customWidth="1"/>
    <col min="2054" max="2054" width="17" style="4" bestFit="1" customWidth="1"/>
    <col min="2055" max="2055" width="16.7109375" style="4" bestFit="1" customWidth="1"/>
    <col min="2056" max="2056" width="18" style="4" bestFit="1" customWidth="1"/>
    <col min="2057" max="2057" width="17.7109375" style="4" bestFit="1" customWidth="1"/>
    <col min="2058" max="2058" width="13.5703125" style="4" customWidth="1"/>
    <col min="2059" max="2059" width="18.5703125" style="4" bestFit="1" customWidth="1"/>
    <col min="2060" max="2060" width="15.5703125" style="4" customWidth="1"/>
    <col min="2061" max="2061" width="13.5703125" style="4" customWidth="1"/>
    <col min="2062" max="2304" width="11.42578125" style="4"/>
    <col min="2305" max="2305" width="2.5703125" style="4" customWidth="1"/>
    <col min="2306" max="2306" width="22.42578125" style="4" customWidth="1"/>
    <col min="2307" max="2307" width="12.140625" style="4" bestFit="1" customWidth="1"/>
    <col min="2308" max="2308" width="8.140625" style="4" customWidth="1"/>
    <col min="2309" max="2309" width="8.5703125" style="4" customWidth="1"/>
    <col min="2310" max="2310" width="17" style="4" bestFit="1" customWidth="1"/>
    <col min="2311" max="2311" width="16.7109375" style="4" bestFit="1" customWidth="1"/>
    <col min="2312" max="2312" width="18" style="4" bestFit="1" customWidth="1"/>
    <col min="2313" max="2313" width="17.7109375" style="4" bestFit="1" customWidth="1"/>
    <col min="2314" max="2314" width="13.5703125" style="4" customWidth="1"/>
    <col min="2315" max="2315" width="18.5703125" style="4" bestFit="1" customWidth="1"/>
    <col min="2316" max="2316" width="15.5703125" style="4" customWidth="1"/>
    <col min="2317" max="2317" width="13.5703125" style="4" customWidth="1"/>
    <col min="2318" max="2560" width="11.42578125" style="4"/>
    <col min="2561" max="2561" width="2.5703125" style="4" customWidth="1"/>
    <col min="2562" max="2562" width="22.42578125" style="4" customWidth="1"/>
    <col min="2563" max="2563" width="12.140625" style="4" bestFit="1" customWidth="1"/>
    <col min="2564" max="2564" width="8.140625" style="4" customWidth="1"/>
    <col min="2565" max="2565" width="8.5703125" style="4" customWidth="1"/>
    <col min="2566" max="2566" width="17" style="4" bestFit="1" customWidth="1"/>
    <col min="2567" max="2567" width="16.7109375" style="4" bestFit="1" customWidth="1"/>
    <col min="2568" max="2568" width="18" style="4" bestFit="1" customWidth="1"/>
    <col min="2569" max="2569" width="17.7109375" style="4" bestFit="1" customWidth="1"/>
    <col min="2570" max="2570" width="13.5703125" style="4" customWidth="1"/>
    <col min="2571" max="2571" width="18.5703125" style="4" bestFit="1" customWidth="1"/>
    <col min="2572" max="2572" width="15.5703125" style="4" customWidth="1"/>
    <col min="2573" max="2573" width="13.5703125" style="4" customWidth="1"/>
    <col min="2574" max="2816" width="11.42578125" style="4"/>
    <col min="2817" max="2817" width="2.5703125" style="4" customWidth="1"/>
    <col min="2818" max="2818" width="22.42578125" style="4" customWidth="1"/>
    <col min="2819" max="2819" width="12.140625" style="4" bestFit="1" customWidth="1"/>
    <col min="2820" max="2820" width="8.140625" style="4" customWidth="1"/>
    <col min="2821" max="2821" width="8.5703125" style="4" customWidth="1"/>
    <col min="2822" max="2822" width="17" style="4" bestFit="1" customWidth="1"/>
    <col min="2823" max="2823" width="16.7109375" style="4" bestFit="1" customWidth="1"/>
    <col min="2824" max="2824" width="18" style="4" bestFit="1" customWidth="1"/>
    <col min="2825" max="2825" width="17.7109375" style="4" bestFit="1" customWidth="1"/>
    <col min="2826" max="2826" width="13.5703125" style="4" customWidth="1"/>
    <col min="2827" max="2827" width="18.5703125" style="4" bestFit="1" customWidth="1"/>
    <col min="2828" max="2828" width="15.5703125" style="4" customWidth="1"/>
    <col min="2829" max="2829" width="13.5703125" style="4" customWidth="1"/>
    <col min="2830" max="3072" width="11.42578125" style="4"/>
    <col min="3073" max="3073" width="2.5703125" style="4" customWidth="1"/>
    <col min="3074" max="3074" width="22.42578125" style="4" customWidth="1"/>
    <col min="3075" max="3075" width="12.140625" style="4" bestFit="1" customWidth="1"/>
    <col min="3076" max="3076" width="8.140625" style="4" customWidth="1"/>
    <col min="3077" max="3077" width="8.5703125" style="4" customWidth="1"/>
    <col min="3078" max="3078" width="17" style="4" bestFit="1" customWidth="1"/>
    <col min="3079" max="3079" width="16.7109375" style="4" bestFit="1" customWidth="1"/>
    <col min="3080" max="3080" width="18" style="4" bestFit="1" customWidth="1"/>
    <col min="3081" max="3081" width="17.7109375" style="4" bestFit="1" customWidth="1"/>
    <col min="3082" max="3082" width="13.5703125" style="4" customWidth="1"/>
    <col min="3083" max="3083" width="18.5703125" style="4" bestFit="1" customWidth="1"/>
    <col min="3084" max="3084" width="15.5703125" style="4" customWidth="1"/>
    <col min="3085" max="3085" width="13.5703125" style="4" customWidth="1"/>
    <col min="3086" max="3328" width="11.42578125" style="4"/>
    <col min="3329" max="3329" width="2.5703125" style="4" customWidth="1"/>
    <col min="3330" max="3330" width="22.42578125" style="4" customWidth="1"/>
    <col min="3331" max="3331" width="12.140625" style="4" bestFit="1" customWidth="1"/>
    <col min="3332" max="3332" width="8.140625" style="4" customWidth="1"/>
    <col min="3333" max="3333" width="8.5703125" style="4" customWidth="1"/>
    <col min="3334" max="3334" width="17" style="4" bestFit="1" customWidth="1"/>
    <col min="3335" max="3335" width="16.7109375" style="4" bestFit="1" customWidth="1"/>
    <col min="3336" max="3336" width="18" style="4" bestFit="1" customWidth="1"/>
    <col min="3337" max="3337" width="17.7109375" style="4" bestFit="1" customWidth="1"/>
    <col min="3338" max="3338" width="13.5703125" style="4" customWidth="1"/>
    <col min="3339" max="3339" width="18.5703125" style="4" bestFit="1" customWidth="1"/>
    <col min="3340" max="3340" width="15.5703125" style="4" customWidth="1"/>
    <col min="3341" max="3341" width="13.5703125" style="4" customWidth="1"/>
    <col min="3342" max="3584" width="11.42578125" style="4"/>
    <col min="3585" max="3585" width="2.5703125" style="4" customWidth="1"/>
    <col min="3586" max="3586" width="22.42578125" style="4" customWidth="1"/>
    <col min="3587" max="3587" width="12.140625" style="4" bestFit="1" customWidth="1"/>
    <col min="3588" max="3588" width="8.140625" style="4" customWidth="1"/>
    <col min="3589" max="3589" width="8.5703125" style="4" customWidth="1"/>
    <col min="3590" max="3590" width="17" style="4" bestFit="1" customWidth="1"/>
    <col min="3591" max="3591" width="16.7109375" style="4" bestFit="1" customWidth="1"/>
    <col min="3592" max="3592" width="18" style="4" bestFit="1" customWidth="1"/>
    <col min="3593" max="3593" width="17.7109375" style="4" bestFit="1" customWidth="1"/>
    <col min="3594" max="3594" width="13.5703125" style="4" customWidth="1"/>
    <col min="3595" max="3595" width="18.5703125" style="4" bestFit="1" customWidth="1"/>
    <col min="3596" max="3596" width="15.5703125" style="4" customWidth="1"/>
    <col min="3597" max="3597" width="13.5703125" style="4" customWidth="1"/>
    <col min="3598" max="3840" width="11.42578125" style="4"/>
    <col min="3841" max="3841" width="2.5703125" style="4" customWidth="1"/>
    <col min="3842" max="3842" width="22.42578125" style="4" customWidth="1"/>
    <col min="3843" max="3843" width="12.140625" style="4" bestFit="1" customWidth="1"/>
    <col min="3844" max="3844" width="8.140625" style="4" customWidth="1"/>
    <col min="3845" max="3845" width="8.5703125" style="4" customWidth="1"/>
    <col min="3846" max="3846" width="17" style="4" bestFit="1" customWidth="1"/>
    <col min="3847" max="3847" width="16.7109375" style="4" bestFit="1" customWidth="1"/>
    <col min="3848" max="3848" width="18" style="4" bestFit="1" customWidth="1"/>
    <col min="3849" max="3849" width="17.7109375" style="4" bestFit="1" customWidth="1"/>
    <col min="3850" max="3850" width="13.5703125" style="4" customWidth="1"/>
    <col min="3851" max="3851" width="18.5703125" style="4" bestFit="1" customWidth="1"/>
    <col min="3852" max="3852" width="15.5703125" style="4" customWidth="1"/>
    <col min="3853" max="3853" width="13.5703125" style="4" customWidth="1"/>
    <col min="3854" max="4096" width="11.42578125" style="4"/>
    <col min="4097" max="4097" width="2.5703125" style="4" customWidth="1"/>
    <col min="4098" max="4098" width="22.42578125" style="4" customWidth="1"/>
    <col min="4099" max="4099" width="12.140625" style="4" bestFit="1" customWidth="1"/>
    <col min="4100" max="4100" width="8.140625" style="4" customWidth="1"/>
    <col min="4101" max="4101" width="8.5703125" style="4" customWidth="1"/>
    <col min="4102" max="4102" width="17" style="4" bestFit="1" customWidth="1"/>
    <col min="4103" max="4103" width="16.7109375" style="4" bestFit="1" customWidth="1"/>
    <col min="4104" max="4104" width="18" style="4" bestFit="1" customWidth="1"/>
    <col min="4105" max="4105" width="17.7109375" style="4" bestFit="1" customWidth="1"/>
    <col min="4106" max="4106" width="13.5703125" style="4" customWidth="1"/>
    <col min="4107" max="4107" width="18.5703125" style="4" bestFit="1" customWidth="1"/>
    <col min="4108" max="4108" width="15.5703125" style="4" customWidth="1"/>
    <col min="4109" max="4109" width="13.5703125" style="4" customWidth="1"/>
    <col min="4110" max="4352" width="11.42578125" style="4"/>
    <col min="4353" max="4353" width="2.5703125" style="4" customWidth="1"/>
    <col min="4354" max="4354" width="22.42578125" style="4" customWidth="1"/>
    <col min="4355" max="4355" width="12.140625" style="4" bestFit="1" customWidth="1"/>
    <col min="4356" max="4356" width="8.140625" style="4" customWidth="1"/>
    <col min="4357" max="4357" width="8.5703125" style="4" customWidth="1"/>
    <col min="4358" max="4358" width="17" style="4" bestFit="1" customWidth="1"/>
    <col min="4359" max="4359" width="16.7109375" style="4" bestFit="1" customWidth="1"/>
    <col min="4360" max="4360" width="18" style="4" bestFit="1" customWidth="1"/>
    <col min="4361" max="4361" width="17.7109375" style="4" bestFit="1" customWidth="1"/>
    <col min="4362" max="4362" width="13.5703125" style="4" customWidth="1"/>
    <col min="4363" max="4363" width="18.5703125" style="4" bestFit="1" customWidth="1"/>
    <col min="4364" max="4364" width="15.5703125" style="4" customWidth="1"/>
    <col min="4365" max="4365" width="13.5703125" style="4" customWidth="1"/>
    <col min="4366" max="4608" width="11.42578125" style="4"/>
    <col min="4609" max="4609" width="2.5703125" style="4" customWidth="1"/>
    <col min="4610" max="4610" width="22.42578125" style="4" customWidth="1"/>
    <col min="4611" max="4611" width="12.140625" style="4" bestFit="1" customWidth="1"/>
    <col min="4612" max="4612" width="8.140625" style="4" customWidth="1"/>
    <col min="4613" max="4613" width="8.5703125" style="4" customWidth="1"/>
    <col min="4614" max="4614" width="17" style="4" bestFit="1" customWidth="1"/>
    <col min="4615" max="4615" width="16.7109375" style="4" bestFit="1" customWidth="1"/>
    <col min="4616" max="4616" width="18" style="4" bestFit="1" customWidth="1"/>
    <col min="4617" max="4617" width="17.7109375" style="4" bestFit="1" customWidth="1"/>
    <col min="4618" max="4618" width="13.5703125" style="4" customWidth="1"/>
    <col min="4619" max="4619" width="18.5703125" style="4" bestFit="1" customWidth="1"/>
    <col min="4620" max="4620" width="15.5703125" style="4" customWidth="1"/>
    <col min="4621" max="4621" width="13.5703125" style="4" customWidth="1"/>
    <col min="4622" max="4864" width="11.42578125" style="4"/>
    <col min="4865" max="4865" width="2.5703125" style="4" customWidth="1"/>
    <col min="4866" max="4866" width="22.42578125" style="4" customWidth="1"/>
    <col min="4867" max="4867" width="12.140625" style="4" bestFit="1" customWidth="1"/>
    <col min="4868" max="4868" width="8.140625" style="4" customWidth="1"/>
    <col min="4869" max="4869" width="8.5703125" style="4" customWidth="1"/>
    <col min="4870" max="4870" width="17" style="4" bestFit="1" customWidth="1"/>
    <col min="4871" max="4871" width="16.7109375" style="4" bestFit="1" customWidth="1"/>
    <col min="4872" max="4872" width="18" style="4" bestFit="1" customWidth="1"/>
    <col min="4873" max="4873" width="17.7109375" style="4" bestFit="1" customWidth="1"/>
    <col min="4874" max="4874" width="13.5703125" style="4" customWidth="1"/>
    <col min="4875" max="4875" width="18.5703125" style="4" bestFit="1" customWidth="1"/>
    <col min="4876" max="4876" width="15.5703125" style="4" customWidth="1"/>
    <col min="4877" max="4877" width="13.5703125" style="4" customWidth="1"/>
    <col min="4878" max="5120" width="11.42578125" style="4"/>
    <col min="5121" max="5121" width="2.5703125" style="4" customWidth="1"/>
    <col min="5122" max="5122" width="22.42578125" style="4" customWidth="1"/>
    <col min="5123" max="5123" width="12.140625" style="4" bestFit="1" customWidth="1"/>
    <col min="5124" max="5124" width="8.140625" style="4" customWidth="1"/>
    <col min="5125" max="5125" width="8.5703125" style="4" customWidth="1"/>
    <col min="5126" max="5126" width="17" style="4" bestFit="1" customWidth="1"/>
    <col min="5127" max="5127" width="16.7109375" style="4" bestFit="1" customWidth="1"/>
    <col min="5128" max="5128" width="18" style="4" bestFit="1" customWidth="1"/>
    <col min="5129" max="5129" width="17.7109375" style="4" bestFit="1" customWidth="1"/>
    <col min="5130" max="5130" width="13.5703125" style="4" customWidth="1"/>
    <col min="5131" max="5131" width="18.5703125" style="4" bestFit="1" customWidth="1"/>
    <col min="5132" max="5132" width="15.5703125" style="4" customWidth="1"/>
    <col min="5133" max="5133" width="13.5703125" style="4" customWidth="1"/>
    <col min="5134" max="5376" width="11.42578125" style="4"/>
    <col min="5377" max="5377" width="2.5703125" style="4" customWidth="1"/>
    <col min="5378" max="5378" width="22.42578125" style="4" customWidth="1"/>
    <col min="5379" max="5379" width="12.140625" style="4" bestFit="1" customWidth="1"/>
    <col min="5380" max="5380" width="8.140625" style="4" customWidth="1"/>
    <col min="5381" max="5381" width="8.5703125" style="4" customWidth="1"/>
    <col min="5382" max="5382" width="17" style="4" bestFit="1" customWidth="1"/>
    <col min="5383" max="5383" width="16.7109375" style="4" bestFit="1" customWidth="1"/>
    <col min="5384" max="5384" width="18" style="4" bestFit="1" customWidth="1"/>
    <col min="5385" max="5385" width="17.7109375" style="4" bestFit="1" customWidth="1"/>
    <col min="5386" max="5386" width="13.5703125" style="4" customWidth="1"/>
    <col min="5387" max="5387" width="18.5703125" style="4" bestFit="1" customWidth="1"/>
    <col min="5388" max="5388" width="15.5703125" style="4" customWidth="1"/>
    <col min="5389" max="5389" width="13.5703125" style="4" customWidth="1"/>
    <col min="5390" max="5632" width="11.42578125" style="4"/>
    <col min="5633" max="5633" width="2.5703125" style="4" customWidth="1"/>
    <col min="5634" max="5634" width="22.42578125" style="4" customWidth="1"/>
    <col min="5635" max="5635" width="12.140625" style="4" bestFit="1" customWidth="1"/>
    <col min="5636" max="5636" width="8.140625" style="4" customWidth="1"/>
    <col min="5637" max="5637" width="8.5703125" style="4" customWidth="1"/>
    <col min="5638" max="5638" width="17" style="4" bestFit="1" customWidth="1"/>
    <col min="5639" max="5639" width="16.7109375" style="4" bestFit="1" customWidth="1"/>
    <col min="5640" max="5640" width="18" style="4" bestFit="1" customWidth="1"/>
    <col min="5641" max="5641" width="17.7109375" style="4" bestFit="1" customWidth="1"/>
    <col min="5642" max="5642" width="13.5703125" style="4" customWidth="1"/>
    <col min="5643" max="5643" width="18.5703125" style="4" bestFit="1" customWidth="1"/>
    <col min="5644" max="5644" width="15.5703125" style="4" customWidth="1"/>
    <col min="5645" max="5645" width="13.5703125" style="4" customWidth="1"/>
    <col min="5646" max="5888" width="11.42578125" style="4"/>
    <col min="5889" max="5889" width="2.5703125" style="4" customWidth="1"/>
    <col min="5890" max="5890" width="22.42578125" style="4" customWidth="1"/>
    <col min="5891" max="5891" width="12.140625" style="4" bestFit="1" customWidth="1"/>
    <col min="5892" max="5892" width="8.140625" style="4" customWidth="1"/>
    <col min="5893" max="5893" width="8.5703125" style="4" customWidth="1"/>
    <col min="5894" max="5894" width="17" style="4" bestFit="1" customWidth="1"/>
    <col min="5895" max="5895" width="16.7109375" style="4" bestFit="1" customWidth="1"/>
    <col min="5896" max="5896" width="18" style="4" bestFit="1" customWidth="1"/>
    <col min="5897" max="5897" width="17.7109375" style="4" bestFit="1" customWidth="1"/>
    <col min="5898" max="5898" width="13.5703125" style="4" customWidth="1"/>
    <col min="5899" max="5899" width="18.5703125" style="4" bestFit="1" customWidth="1"/>
    <col min="5900" max="5900" width="15.5703125" style="4" customWidth="1"/>
    <col min="5901" max="5901" width="13.5703125" style="4" customWidth="1"/>
    <col min="5902" max="6144" width="11.42578125" style="4"/>
    <col min="6145" max="6145" width="2.5703125" style="4" customWidth="1"/>
    <col min="6146" max="6146" width="22.42578125" style="4" customWidth="1"/>
    <col min="6147" max="6147" width="12.140625" style="4" bestFit="1" customWidth="1"/>
    <col min="6148" max="6148" width="8.140625" style="4" customWidth="1"/>
    <col min="6149" max="6149" width="8.5703125" style="4" customWidth="1"/>
    <col min="6150" max="6150" width="17" style="4" bestFit="1" customWidth="1"/>
    <col min="6151" max="6151" width="16.7109375" style="4" bestFit="1" customWidth="1"/>
    <col min="6152" max="6152" width="18" style="4" bestFit="1" customWidth="1"/>
    <col min="6153" max="6153" width="17.7109375" style="4" bestFit="1" customWidth="1"/>
    <col min="6154" max="6154" width="13.5703125" style="4" customWidth="1"/>
    <col min="6155" max="6155" width="18.5703125" style="4" bestFit="1" customWidth="1"/>
    <col min="6156" max="6156" width="15.5703125" style="4" customWidth="1"/>
    <col min="6157" max="6157" width="13.5703125" style="4" customWidth="1"/>
    <col min="6158" max="6400" width="11.42578125" style="4"/>
    <col min="6401" max="6401" width="2.5703125" style="4" customWidth="1"/>
    <col min="6402" max="6402" width="22.42578125" style="4" customWidth="1"/>
    <col min="6403" max="6403" width="12.140625" style="4" bestFit="1" customWidth="1"/>
    <col min="6404" max="6404" width="8.140625" style="4" customWidth="1"/>
    <col min="6405" max="6405" width="8.5703125" style="4" customWidth="1"/>
    <col min="6406" max="6406" width="17" style="4" bestFit="1" customWidth="1"/>
    <col min="6407" max="6407" width="16.7109375" style="4" bestFit="1" customWidth="1"/>
    <col min="6408" max="6408" width="18" style="4" bestFit="1" customWidth="1"/>
    <col min="6409" max="6409" width="17.7109375" style="4" bestFit="1" customWidth="1"/>
    <col min="6410" max="6410" width="13.5703125" style="4" customWidth="1"/>
    <col min="6411" max="6411" width="18.5703125" style="4" bestFit="1" customWidth="1"/>
    <col min="6412" max="6412" width="15.5703125" style="4" customWidth="1"/>
    <col min="6413" max="6413" width="13.5703125" style="4" customWidth="1"/>
    <col min="6414" max="6656" width="11.42578125" style="4"/>
    <col min="6657" max="6657" width="2.5703125" style="4" customWidth="1"/>
    <col min="6658" max="6658" width="22.42578125" style="4" customWidth="1"/>
    <col min="6659" max="6659" width="12.140625" style="4" bestFit="1" customWidth="1"/>
    <col min="6660" max="6660" width="8.140625" style="4" customWidth="1"/>
    <col min="6661" max="6661" width="8.5703125" style="4" customWidth="1"/>
    <col min="6662" max="6662" width="17" style="4" bestFit="1" customWidth="1"/>
    <col min="6663" max="6663" width="16.7109375" style="4" bestFit="1" customWidth="1"/>
    <col min="6664" max="6664" width="18" style="4" bestFit="1" customWidth="1"/>
    <col min="6665" max="6665" width="17.7109375" style="4" bestFit="1" customWidth="1"/>
    <col min="6666" max="6666" width="13.5703125" style="4" customWidth="1"/>
    <col min="6667" max="6667" width="18.5703125" style="4" bestFit="1" customWidth="1"/>
    <col min="6668" max="6668" width="15.5703125" style="4" customWidth="1"/>
    <col min="6669" max="6669" width="13.5703125" style="4" customWidth="1"/>
    <col min="6670" max="6912" width="11.42578125" style="4"/>
    <col min="6913" max="6913" width="2.5703125" style="4" customWidth="1"/>
    <col min="6914" max="6914" width="22.42578125" style="4" customWidth="1"/>
    <col min="6915" max="6915" width="12.140625" style="4" bestFit="1" customWidth="1"/>
    <col min="6916" max="6916" width="8.140625" style="4" customWidth="1"/>
    <col min="6917" max="6917" width="8.5703125" style="4" customWidth="1"/>
    <col min="6918" max="6918" width="17" style="4" bestFit="1" customWidth="1"/>
    <col min="6919" max="6919" width="16.7109375" style="4" bestFit="1" customWidth="1"/>
    <col min="6920" max="6920" width="18" style="4" bestFit="1" customWidth="1"/>
    <col min="6921" max="6921" width="17.7109375" style="4" bestFit="1" customWidth="1"/>
    <col min="6922" max="6922" width="13.5703125" style="4" customWidth="1"/>
    <col min="6923" max="6923" width="18.5703125" style="4" bestFit="1" customWidth="1"/>
    <col min="6924" max="6924" width="15.5703125" style="4" customWidth="1"/>
    <col min="6925" max="6925" width="13.5703125" style="4" customWidth="1"/>
    <col min="6926" max="7168" width="11.42578125" style="4"/>
    <col min="7169" max="7169" width="2.5703125" style="4" customWidth="1"/>
    <col min="7170" max="7170" width="22.42578125" style="4" customWidth="1"/>
    <col min="7171" max="7171" width="12.140625" style="4" bestFit="1" customWidth="1"/>
    <col min="7172" max="7172" width="8.140625" style="4" customWidth="1"/>
    <col min="7173" max="7173" width="8.5703125" style="4" customWidth="1"/>
    <col min="7174" max="7174" width="17" style="4" bestFit="1" customWidth="1"/>
    <col min="7175" max="7175" width="16.7109375" style="4" bestFit="1" customWidth="1"/>
    <col min="7176" max="7176" width="18" style="4" bestFit="1" customWidth="1"/>
    <col min="7177" max="7177" width="17.7109375" style="4" bestFit="1" customWidth="1"/>
    <col min="7178" max="7178" width="13.5703125" style="4" customWidth="1"/>
    <col min="7179" max="7179" width="18.5703125" style="4" bestFit="1" customWidth="1"/>
    <col min="7180" max="7180" width="15.5703125" style="4" customWidth="1"/>
    <col min="7181" max="7181" width="13.5703125" style="4" customWidth="1"/>
    <col min="7182" max="7424" width="11.42578125" style="4"/>
    <col min="7425" max="7425" width="2.5703125" style="4" customWidth="1"/>
    <col min="7426" max="7426" width="22.42578125" style="4" customWidth="1"/>
    <col min="7427" max="7427" width="12.140625" style="4" bestFit="1" customWidth="1"/>
    <col min="7428" max="7428" width="8.140625" style="4" customWidth="1"/>
    <col min="7429" max="7429" width="8.5703125" style="4" customWidth="1"/>
    <col min="7430" max="7430" width="17" style="4" bestFit="1" customWidth="1"/>
    <col min="7431" max="7431" width="16.7109375" style="4" bestFit="1" customWidth="1"/>
    <col min="7432" max="7432" width="18" style="4" bestFit="1" customWidth="1"/>
    <col min="7433" max="7433" width="17.7109375" style="4" bestFit="1" customWidth="1"/>
    <col min="7434" max="7434" width="13.5703125" style="4" customWidth="1"/>
    <col min="7435" max="7435" width="18.5703125" style="4" bestFit="1" customWidth="1"/>
    <col min="7436" max="7436" width="15.5703125" style="4" customWidth="1"/>
    <col min="7437" max="7437" width="13.5703125" style="4" customWidth="1"/>
    <col min="7438" max="7680" width="11.42578125" style="4"/>
    <col min="7681" max="7681" width="2.5703125" style="4" customWidth="1"/>
    <col min="7682" max="7682" width="22.42578125" style="4" customWidth="1"/>
    <col min="7683" max="7683" width="12.140625" style="4" bestFit="1" customWidth="1"/>
    <col min="7684" max="7684" width="8.140625" style="4" customWidth="1"/>
    <col min="7685" max="7685" width="8.5703125" style="4" customWidth="1"/>
    <col min="7686" max="7686" width="17" style="4" bestFit="1" customWidth="1"/>
    <col min="7687" max="7687" width="16.7109375" style="4" bestFit="1" customWidth="1"/>
    <col min="7688" max="7688" width="18" style="4" bestFit="1" customWidth="1"/>
    <col min="7689" max="7689" width="17.7109375" style="4" bestFit="1" customWidth="1"/>
    <col min="7690" max="7690" width="13.5703125" style="4" customWidth="1"/>
    <col min="7691" max="7691" width="18.5703125" style="4" bestFit="1" customWidth="1"/>
    <col min="7692" max="7692" width="15.5703125" style="4" customWidth="1"/>
    <col min="7693" max="7693" width="13.5703125" style="4" customWidth="1"/>
    <col min="7694" max="7936" width="11.42578125" style="4"/>
    <col min="7937" max="7937" width="2.5703125" style="4" customWidth="1"/>
    <col min="7938" max="7938" width="22.42578125" style="4" customWidth="1"/>
    <col min="7939" max="7939" width="12.140625" style="4" bestFit="1" customWidth="1"/>
    <col min="7940" max="7940" width="8.140625" style="4" customWidth="1"/>
    <col min="7941" max="7941" width="8.5703125" style="4" customWidth="1"/>
    <col min="7942" max="7942" width="17" style="4" bestFit="1" customWidth="1"/>
    <col min="7943" max="7943" width="16.7109375" style="4" bestFit="1" customWidth="1"/>
    <col min="7944" max="7944" width="18" style="4" bestFit="1" customWidth="1"/>
    <col min="7945" max="7945" width="17.7109375" style="4" bestFit="1" customWidth="1"/>
    <col min="7946" max="7946" width="13.5703125" style="4" customWidth="1"/>
    <col min="7947" max="7947" width="18.5703125" style="4" bestFit="1" customWidth="1"/>
    <col min="7948" max="7948" width="15.5703125" style="4" customWidth="1"/>
    <col min="7949" max="7949" width="13.5703125" style="4" customWidth="1"/>
    <col min="7950" max="8192" width="11.42578125" style="4"/>
    <col min="8193" max="8193" width="2.5703125" style="4" customWidth="1"/>
    <col min="8194" max="8194" width="22.42578125" style="4" customWidth="1"/>
    <col min="8195" max="8195" width="12.140625" style="4" bestFit="1" customWidth="1"/>
    <col min="8196" max="8196" width="8.140625" style="4" customWidth="1"/>
    <col min="8197" max="8197" width="8.5703125" style="4" customWidth="1"/>
    <col min="8198" max="8198" width="17" style="4" bestFit="1" customWidth="1"/>
    <col min="8199" max="8199" width="16.7109375" style="4" bestFit="1" customWidth="1"/>
    <col min="8200" max="8200" width="18" style="4" bestFit="1" customWidth="1"/>
    <col min="8201" max="8201" width="17.7109375" style="4" bestFit="1" customWidth="1"/>
    <col min="8202" max="8202" width="13.5703125" style="4" customWidth="1"/>
    <col min="8203" max="8203" width="18.5703125" style="4" bestFit="1" customWidth="1"/>
    <col min="8204" max="8204" width="15.5703125" style="4" customWidth="1"/>
    <col min="8205" max="8205" width="13.5703125" style="4" customWidth="1"/>
    <col min="8206" max="8448" width="11.42578125" style="4"/>
    <col min="8449" max="8449" width="2.5703125" style="4" customWidth="1"/>
    <col min="8450" max="8450" width="22.42578125" style="4" customWidth="1"/>
    <col min="8451" max="8451" width="12.140625" style="4" bestFit="1" customWidth="1"/>
    <col min="8452" max="8452" width="8.140625" style="4" customWidth="1"/>
    <col min="8453" max="8453" width="8.5703125" style="4" customWidth="1"/>
    <col min="8454" max="8454" width="17" style="4" bestFit="1" customWidth="1"/>
    <col min="8455" max="8455" width="16.7109375" style="4" bestFit="1" customWidth="1"/>
    <col min="8456" max="8456" width="18" style="4" bestFit="1" customWidth="1"/>
    <col min="8457" max="8457" width="17.7109375" style="4" bestFit="1" customWidth="1"/>
    <col min="8458" max="8458" width="13.5703125" style="4" customWidth="1"/>
    <col min="8459" max="8459" width="18.5703125" style="4" bestFit="1" customWidth="1"/>
    <col min="8460" max="8460" width="15.5703125" style="4" customWidth="1"/>
    <col min="8461" max="8461" width="13.5703125" style="4" customWidth="1"/>
    <col min="8462" max="8704" width="11.42578125" style="4"/>
    <col min="8705" max="8705" width="2.5703125" style="4" customWidth="1"/>
    <col min="8706" max="8706" width="22.42578125" style="4" customWidth="1"/>
    <col min="8707" max="8707" width="12.140625" style="4" bestFit="1" customWidth="1"/>
    <col min="8708" max="8708" width="8.140625" style="4" customWidth="1"/>
    <col min="8709" max="8709" width="8.5703125" style="4" customWidth="1"/>
    <col min="8710" max="8710" width="17" style="4" bestFit="1" customWidth="1"/>
    <col min="8711" max="8711" width="16.7109375" style="4" bestFit="1" customWidth="1"/>
    <col min="8712" max="8712" width="18" style="4" bestFit="1" customWidth="1"/>
    <col min="8713" max="8713" width="17.7109375" style="4" bestFit="1" customWidth="1"/>
    <col min="8714" max="8714" width="13.5703125" style="4" customWidth="1"/>
    <col min="8715" max="8715" width="18.5703125" style="4" bestFit="1" customWidth="1"/>
    <col min="8716" max="8716" width="15.5703125" style="4" customWidth="1"/>
    <col min="8717" max="8717" width="13.5703125" style="4" customWidth="1"/>
    <col min="8718" max="8960" width="11.42578125" style="4"/>
    <col min="8961" max="8961" width="2.5703125" style="4" customWidth="1"/>
    <col min="8962" max="8962" width="22.42578125" style="4" customWidth="1"/>
    <col min="8963" max="8963" width="12.140625" style="4" bestFit="1" customWidth="1"/>
    <col min="8964" max="8964" width="8.140625" style="4" customWidth="1"/>
    <col min="8965" max="8965" width="8.5703125" style="4" customWidth="1"/>
    <col min="8966" max="8966" width="17" style="4" bestFit="1" customWidth="1"/>
    <col min="8967" max="8967" width="16.7109375" style="4" bestFit="1" customWidth="1"/>
    <col min="8968" max="8968" width="18" style="4" bestFit="1" customWidth="1"/>
    <col min="8969" max="8969" width="17.7109375" style="4" bestFit="1" customWidth="1"/>
    <col min="8970" max="8970" width="13.5703125" style="4" customWidth="1"/>
    <col min="8971" max="8971" width="18.5703125" style="4" bestFit="1" customWidth="1"/>
    <col min="8972" max="8972" width="15.5703125" style="4" customWidth="1"/>
    <col min="8973" max="8973" width="13.5703125" style="4" customWidth="1"/>
    <col min="8974" max="9216" width="11.42578125" style="4"/>
    <col min="9217" max="9217" width="2.5703125" style="4" customWidth="1"/>
    <col min="9218" max="9218" width="22.42578125" style="4" customWidth="1"/>
    <col min="9219" max="9219" width="12.140625" style="4" bestFit="1" customWidth="1"/>
    <col min="9220" max="9220" width="8.140625" style="4" customWidth="1"/>
    <col min="9221" max="9221" width="8.5703125" style="4" customWidth="1"/>
    <col min="9222" max="9222" width="17" style="4" bestFit="1" customWidth="1"/>
    <col min="9223" max="9223" width="16.7109375" style="4" bestFit="1" customWidth="1"/>
    <col min="9224" max="9224" width="18" style="4" bestFit="1" customWidth="1"/>
    <col min="9225" max="9225" width="17.7109375" style="4" bestFit="1" customWidth="1"/>
    <col min="9226" max="9226" width="13.5703125" style="4" customWidth="1"/>
    <col min="9227" max="9227" width="18.5703125" style="4" bestFit="1" customWidth="1"/>
    <col min="9228" max="9228" width="15.5703125" style="4" customWidth="1"/>
    <col min="9229" max="9229" width="13.5703125" style="4" customWidth="1"/>
    <col min="9230" max="9472" width="11.42578125" style="4"/>
    <col min="9473" max="9473" width="2.5703125" style="4" customWidth="1"/>
    <col min="9474" max="9474" width="22.42578125" style="4" customWidth="1"/>
    <col min="9475" max="9475" width="12.140625" style="4" bestFit="1" customWidth="1"/>
    <col min="9476" max="9476" width="8.140625" style="4" customWidth="1"/>
    <col min="9477" max="9477" width="8.5703125" style="4" customWidth="1"/>
    <col min="9478" max="9478" width="17" style="4" bestFit="1" customWidth="1"/>
    <col min="9479" max="9479" width="16.7109375" style="4" bestFit="1" customWidth="1"/>
    <col min="9480" max="9480" width="18" style="4" bestFit="1" customWidth="1"/>
    <col min="9481" max="9481" width="17.7109375" style="4" bestFit="1" customWidth="1"/>
    <col min="9482" max="9482" width="13.5703125" style="4" customWidth="1"/>
    <col min="9483" max="9483" width="18.5703125" style="4" bestFit="1" customWidth="1"/>
    <col min="9484" max="9484" width="15.5703125" style="4" customWidth="1"/>
    <col min="9485" max="9485" width="13.5703125" style="4" customWidth="1"/>
    <col min="9486" max="9728" width="11.42578125" style="4"/>
    <col min="9729" max="9729" width="2.5703125" style="4" customWidth="1"/>
    <col min="9730" max="9730" width="22.42578125" style="4" customWidth="1"/>
    <col min="9731" max="9731" width="12.140625" style="4" bestFit="1" customWidth="1"/>
    <col min="9732" max="9732" width="8.140625" style="4" customWidth="1"/>
    <col min="9733" max="9733" width="8.5703125" style="4" customWidth="1"/>
    <col min="9734" max="9734" width="17" style="4" bestFit="1" customWidth="1"/>
    <col min="9735" max="9735" width="16.7109375" style="4" bestFit="1" customWidth="1"/>
    <col min="9736" max="9736" width="18" style="4" bestFit="1" customWidth="1"/>
    <col min="9737" max="9737" width="17.7109375" style="4" bestFit="1" customWidth="1"/>
    <col min="9738" max="9738" width="13.5703125" style="4" customWidth="1"/>
    <col min="9739" max="9739" width="18.5703125" style="4" bestFit="1" customWidth="1"/>
    <col min="9740" max="9740" width="15.5703125" style="4" customWidth="1"/>
    <col min="9741" max="9741" width="13.5703125" style="4" customWidth="1"/>
    <col min="9742" max="9984" width="11.42578125" style="4"/>
    <col min="9985" max="9985" width="2.5703125" style="4" customWidth="1"/>
    <col min="9986" max="9986" width="22.42578125" style="4" customWidth="1"/>
    <col min="9987" max="9987" width="12.140625" style="4" bestFit="1" customWidth="1"/>
    <col min="9988" max="9988" width="8.140625" style="4" customWidth="1"/>
    <col min="9989" max="9989" width="8.5703125" style="4" customWidth="1"/>
    <col min="9990" max="9990" width="17" style="4" bestFit="1" customWidth="1"/>
    <col min="9991" max="9991" width="16.7109375" style="4" bestFit="1" customWidth="1"/>
    <col min="9992" max="9992" width="18" style="4" bestFit="1" customWidth="1"/>
    <col min="9993" max="9993" width="17.7109375" style="4" bestFit="1" customWidth="1"/>
    <col min="9994" max="9994" width="13.5703125" style="4" customWidth="1"/>
    <col min="9995" max="9995" width="18.5703125" style="4" bestFit="1" customWidth="1"/>
    <col min="9996" max="9996" width="15.5703125" style="4" customWidth="1"/>
    <col min="9997" max="9997" width="13.5703125" style="4" customWidth="1"/>
    <col min="9998" max="10240" width="11.42578125" style="4"/>
    <col min="10241" max="10241" width="2.5703125" style="4" customWidth="1"/>
    <col min="10242" max="10242" width="22.42578125" style="4" customWidth="1"/>
    <col min="10243" max="10243" width="12.140625" style="4" bestFit="1" customWidth="1"/>
    <col min="10244" max="10244" width="8.140625" style="4" customWidth="1"/>
    <col min="10245" max="10245" width="8.5703125" style="4" customWidth="1"/>
    <col min="10246" max="10246" width="17" style="4" bestFit="1" customWidth="1"/>
    <col min="10247" max="10247" width="16.7109375" style="4" bestFit="1" customWidth="1"/>
    <col min="10248" max="10248" width="18" style="4" bestFit="1" customWidth="1"/>
    <col min="10249" max="10249" width="17.7109375" style="4" bestFit="1" customWidth="1"/>
    <col min="10250" max="10250" width="13.5703125" style="4" customWidth="1"/>
    <col min="10251" max="10251" width="18.5703125" style="4" bestFit="1" customWidth="1"/>
    <col min="10252" max="10252" width="15.5703125" style="4" customWidth="1"/>
    <col min="10253" max="10253" width="13.5703125" style="4" customWidth="1"/>
    <col min="10254" max="10496" width="11.42578125" style="4"/>
    <col min="10497" max="10497" width="2.5703125" style="4" customWidth="1"/>
    <col min="10498" max="10498" width="22.42578125" style="4" customWidth="1"/>
    <col min="10499" max="10499" width="12.140625" style="4" bestFit="1" customWidth="1"/>
    <col min="10500" max="10500" width="8.140625" style="4" customWidth="1"/>
    <col min="10501" max="10501" width="8.5703125" style="4" customWidth="1"/>
    <col min="10502" max="10502" width="17" style="4" bestFit="1" customWidth="1"/>
    <col min="10503" max="10503" width="16.7109375" style="4" bestFit="1" customWidth="1"/>
    <col min="10504" max="10504" width="18" style="4" bestFit="1" customWidth="1"/>
    <col min="10505" max="10505" width="17.7109375" style="4" bestFit="1" customWidth="1"/>
    <col min="10506" max="10506" width="13.5703125" style="4" customWidth="1"/>
    <col min="10507" max="10507" width="18.5703125" style="4" bestFit="1" customWidth="1"/>
    <col min="10508" max="10508" width="15.5703125" style="4" customWidth="1"/>
    <col min="10509" max="10509" width="13.5703125" style="4" customWidth="1"/>
    <col min="10510" max="10752" width="11.42578125" style="4"/>
    <col min="10753" max="10753" width="2.5703125" style="4" customWidth="1"/>
    <col min="10754" max="10754" width="22.42578125" style="4" customWidth="1"/>
    <col min="10755" max="10755" width="12.140625" style="4" bestFit="1" customWidth="1"/>
    <col min="10756" max="10756" width="8.140625" style="4" customWidth="1"/>
    <col min="10757" max="10757" width="8.5703125" style="4" customWidth="1"/>
    <col min="10758" max="10758" width="17" style="4" bestFit="1" customWidth="1"/>
    <col min="10759" max="10759" width="16.7109375" style="4" bestFit="1" customWidth="1"/>
    <col min="10760" max="10760" width="18" style="4" bestFit="1" customWidth="1"/>
    <col min="10761" max="10761" width="17.7109375" style="4" bestFit="1" customWidth="1"/>
    <col min="10762" max="10762" width="13.5703125" style="4" customWidth="1"/>
    <col min="10763" max="10763" width="18.5703125" style="4" bestFit="1" customWidth="1"/>
    <col min="10764" max="10764" width="15.5703125" style="4" customWidth="1"/>
    <col min="10765" max="10765" width="13.5703125" style="4" customWidth="1"/>
    <col min="10766" max="11008" width="11.42578125" style="4"/>
    <col min="11009" max="11009" width="2.5703125" style="4" customWidth="1"/>
    <col min="11010" max="11010" width="22.42578125" style="4" customWidth="1"/>
    <col min="11011" max="11011" width="12.140625" style="4" bestFit="1" customWidth="1"/>
    <col min="11012" max="11012" width="8.140625" style="4" customWidth="1"/>
    <col min="11013" max="11013" width="8.5703125" style="4" customWidth="1"/>
    <col min="11014" max="11014" width="17" style="4" bestFit="1" customWidth="1"/>
    <col min="11015" max="11015" width="16.7109375" style="4" bestFit="1" customWidth="1"/>
    <col min="11016" max="11016" width="18" style="4" bestFit="1" customWidth="1"/>
    <col min="11017" max="11017" width="17.7109375" style="4" bestFit="1" customWidth="1"/>
    <col min="11018" max="11018" width="13.5703125" style="4" customWidth="1"/>
    <col min="11019" max="11019" width="18.5703125" style="4" bestFit="1" customWidth="1"/>
    <col min="11020" max="11020" width="15.5703125" style="4" customWidth="1"/>
    <col min="11021" max="11021" width="13.5703125" style="4" customWidth="1"/>
    <col min="11022" max="11264" width="11.42578125" style="4"/>
    <col min="11265" max="11265" width="2.5703125" style="4" customWidth="1"/>
    <col min="11266" max="11266" width="22.42578125" style="4" customWidth="1"/>
    <col min="11267" max="11267" width="12.140625" style="4" bestFit="1" customWidth="1"/>
    <col min="11268" max="11268" width="8.140625" style="4" customWidth="1"/>
    <col min="11269" max="11269" width="8.5703125" style="4" customWidth="1"/>
    <col min="11270" max="11270" width="17" style="4" bestFit="1" customWidth="1"/>
    <col min="11271" max="11271" width="16.7109375" style="4" bestFit="1" customWidth="1"/>
    <col min="11272" max="11272" width="18" style="4" bestFit="1" customWidth="1"/>
    <col min="11273" max="11273" width="17.7109375" style="4" bestFit="1" customWidth="1"/>
    <col min="11274" max="11274" width="13.5703125" style="4" customWidth="1"/>
    <col min="11275" max="11275" width="18.5703125" style="4" bestFit="1" customWidth="1"/>
    <col min="11276" max="11276" width="15.5703125" style="4" customWidth="1"/>
    <col min="11277" max="11277" width="13.5703125" style="4" customWidth="1"/>
    <col min="11278" max="11520" width="11.42578125" style="4"/>
    <col min="11521" max="11521" width="2.5703125" style="4" customWidth="1"/>
    <col min="11522" max="11522" width="22.42578125" style="4" customWidth="1"/>
    <col min="11523" max="11523" width="12.140625" style="4" bestFit="1" customWidth="1"/>
    <col min="11524" max="11524" width="8.140625" style="4" customWidth="1"/>
    <col min="11525" max="11525" width="8.5703125" style="4" customWidth="1"/>
    <col min="11526" max="11526" width="17" style="4" bestFit="1" customWidth="1"/>
    <col min="11527" max="11527" width="16.7109375" style="4" bestFit="1" customWidth="1"/>
    <col min="11528" max="11528" width="18" style="4" bestFit="1" customWidth="1"/>
    <col min="11529" max="11529" width="17.7109375" style="4" bestFit="1" customWidth="1"/>
    <col min="11530" max="11530" width="13.5703125" style="4" customWidth="1"/>
    <col min="11531" max="11531" width="18.5703125" style="4" bestFit="1" customWidth="1"/>
    <col min="11532" max="11532" width="15.5703125" style="4" customWidth="1"/>
    <col min="11533" max="11533" width="13.5703125" style="4" customWidth="1"/>
    <col min="11534" max="11776" width="11.42578125" style="4"/>
    <col min="11777" max="11777" width="2.5703125" style="4" customWidth="1"/>
    <col min="11778" max="11778" width="22.42578125" style="4" customWidth="1"/>
    <col min="11779" max="11779" width="12.140625" style="4" bestFit="1" customWidth="1"/>
    <col min="11780" max="11780" width="8.140625" style="4" customWidth="1"/>
    <col min="11781" max="11781" width="8.5703125" style="4" customWidth="1"/>
    <col min="11782" max="11782" width="17" style="4" bestFit="1" customWidth="1"/>
    <col min="11783" max="11783" width="16.7109375" style="4" bestFit="1" customWidth="1"/>
    <col min="11784" max="11784" width="18" style="4" bestFit="1" customWidth="1"/>
    <col min="11785" max="11785" width="17.7109375" style="4" bestFit="1" customWidth="1"/>
    <col min="11786" max="11786" width="13.5703125" style="4" customWidth="1"/>
    <col min="11787" max="11787" width="18.5703125" style="4" bestFit="1" customWidth="1"/>
    <col min="11788" max="11788" width="15.5703125" style="4" customWidth="1"/>
    <col min="11789" max="11789" width="13.5703125" style="4" customWidth="1"/>
    <col min="11790" max="12032" width="11.42578125" style="4"/>
    <col min="12033" max="12033" width="2.5703125" style="4" customWidth="1"/>
    <col min="12034" max="12034" width="22.42578125" style="4" customWidth="1"/>
    <col min="12035" max="12035" width="12.140625" style="4" bestFit="1" customWidth="1"/>
    <col min="12036" max="12036" width="8.140625" style="4" customWidth="1"/>
    <col min="12037" max="12037" width="8.5703125" style="4" customWidth="1"/>
    <col min="12038" max="12038" width="17" style="4" bestFit="1" customWidth="1"/>
    <col min="12039" max="12039" width="16.7109375" style="4" bestFit="1" customWidth="1"/>
    <col min="12040" max="12040" width="18" style="4" bestFit="1" customWidth="1"/>
    <col min="12041" max="12041" width="17.7109375" style="4" bestFit="1" customWidth="1"/>
    <col min="12042" max="12042" width="13.5703125" style="4" customWidth="1"/>
    <col min="12043" max="12043" width="18.5703125" style="4" bestFit="1" customWidth="1"/>
    <col min="12044" max="12044" width="15.5703125" style="4" customWidth="1"/>
    <col min="12045" max="12045" width="13.5703125" style="4" customWidth="1"/>
    <col min="12046" max="12288" width="11.42578125" style="4"/>
    <col min="12289" max="12289" width="2.5703125" style="4" customWidth="1"/>
    <col min="12290" max="12290" width="22.42578125" style="4" customWidth="1"/>
    <col min="12291" max="12291" width="12.140625" style="4" bestFit="1" customWidth="1"/>
    <col min="12292" max="12292" width="8.140625" style="4" customWidth="1"/>
    <col min="12293" max="12293" width="8.5703125" style="4" customWidth="1"/>
    <col min="12294" max="12294" width="17" style="4" bestFit="1" customWidth="1"/>
    <col min="12295" max="12295" width="16.7109375" style="4" bestFit="1" customWidth="1"/>
    <col min="12296" max="12296" width="18" style="4" bestFit="1" customWidth="1"/>
    <col min="12297" max="12297" width="17.7109375" style="4" bestFit="1" customWidth="1"/>
    <col min="12298" max="12298" width="13.5703125" style="4" customWidth="1"/>
    <col min="12299" max="12299" width="18.5703125" style="4" bestFit="1" customWidth="1"/>
    <col min="12300" max="12300" width="15.5703125" style="4" customWidth="1"/>
    <col min="12301" max="12301" width="13.5703125" style="4" customWidth="1"/>
    <col min="12302" max="12544" width="11.42578125" style="4"/>
    <col min="12545" max="12545" width="2.5703125" style="4" customWidth="1"/>
    <col min="12546" max="12546" width="22.42578125" style="4" customWidth="1"/>
    <col min="12547" max="12547" width="12.140625" style="4" bestFit="1" customWidth="1"/>
    <col min="12548" max="12548" width="8.140625" style="4" customWidth="1"/>
    <col min="12549" max="12549" width="8.5703125" style="4" customWidth="1"/>
    <col min="12550" max="12550" width="17" style="4" bestFit="1" customWidth="1"/>
    <col min="12551" max="12551" width="16.7109375" style="4" bestFit="1" customWidth="1"/>
    <col min="12552" max="12552" width="18" style="4" bestFit="1" customWidth="1"/>
    <col min="12553" max="12553" width="17.7109375" style="4" bestFit="1" customWidth="1"/>
    <col min="12554" max="12554" width="13.5703125" style="4" customWidth="1"/>
    <col min="12555" max="12555" width="18.5703125" style="4" bestFit="1" customWidth="1"/>
    <col min="12556" max="12556" width="15.5703125" style="4" customWidth="1"/>
    <col min="12557" max="12557" width="13.5703125" style="4" customWidth="1"/>
    <col min="12558" max="12800" width="11.42578125" style="4"/>
    <col min="12801" max="12801" width="2.5703125" style="4" customWidth="1"/>
    <col min="12802" max="12802" width="22.42578125" style="4" customWidth="1"/>
    <col min="12803" max="12803" width="12.140625" style="4" bestFit="1" customWidth="1"/>
    <col min="12804" max="12804" width="8.140625" style="4" customWidth="1"/>
    <col min="12805" max="12805" width="8.5703125" style="4" customWidth="1"/>
    <col min="12806" max="12806" width="17" style="4" bestFit="1" customWidth="1"/>
    <col min="12807" max="12807" width="16.7109375" style="4" bestFit="1" customWidth="1"/>
    <col min="12808" max="12808" width="18" style="4" bestFit="1" customWidth="1"/>
    <col min="12809" max="12809" width="17.7109375" style="4" bestFit="1" customWidth="1"/>
    <col min="12810" max="12810" width="13.5703125" style="4" customWidth="1"/>
    <col min="12811" max="12811" width="18.5703125" style="4" bestFit="1" customWidth="1"/>
    <col min="12812" max="12812" width="15.5703125" style="4" customWidth="1"/>
    <col min="12813" max="12813" width="13.5703125" style="4" customWidth="1"/>
    <col min="12814" max="13056" width="11.42578125" style="4"/>
    <col min="13057" max="13057" width="2.5703125" style="4" customWidth="1"/>
    <col min="13058" max="13058" width="22.42578125" style="4" customWidth="1"/>
    <col min="13059" max="13059" width="12.140625" style="4" bestFit="1" customWidth="1"/>
    <col min="13060" max="13060" width="8.140625" style="4" customWidth="1"/>
    <col min="13061" max="13061" width="8.5703125" style="4" customWidth="1"/>
    <col min="13062" max="13062" width="17" style="4" bestFit="1" customWidth="1"/>
    <col min="13063" max="13063" width="16.7109375" style="4" bestFit="1" customWidth="1"/>
    <col min="13064" max="13064" width="18" style="4" bestFit="1" customWidth="1"/>
    <col min="13065" max="13065" width="17.7109375" style="4" bestFit="1" customWidth="1"/>
    <col min="13066" max="13066" width="13.5703125" style="4" customWidth="1"/>
    <col min="13067" max="13067" width="18.5703125" style="4" bestFit="1" customWidth="1"/>
    <col min="13068" max="13068" width="15.5703125" style="4" customWidth="1"/>
    <col min="13069" max="13069" width="13.5703125" style="4" customWidth="1"/>
    <col min="13070" max="13312" width="11.42578125" style="4"/>
    <col min="13313" max="13313" width="2.5703125" style="4" customWidth="1"/>
    <col min="13314" max="13314" width="22.42578125" style="4" customWidth="1"/>
    <col min="13315" max="13315" width="12.140625" style="4" bestFit="1" customWidth="1"/>
    <col min="13316" max="13316" width="8.140625" style="4" customWidth="1"/>
    <col min="13317" max="13317" width="8.5703125" style="4" customWidth="1"/>
    <col min="13318" max="13318" width="17" style="4" bestFit="1" customWidth="1"/>
    <col min="13319" max="13319" width="16.7109375" style="4" bestFit="1" customWidth="1"/>
    <col min="13320" max="13320" width="18" style="4" bestFit="1" customWidth="1"/>
    <col min="13321" max="13321" width="17.7109375" style="4" bestFit="1" customWidth="1"/>
    <col min="13322" max="13322" width="13.5703125" style="4" customWidth="1"/>
    <col min="13323" max="13323" width="18.5703125" style="4" bestFit="1" customWidth="1"/>
    <col min="13324" max="13324" width="15.5703125" style="4" customWidth="1"/>
    <col min="13325" max="13325" width="13.5703125" style="4" customWidth="1"/>
    <col min="13326" max="13568" width="11.42578125" style="4"/>
    <col min="13569" max="13569" width="2.5703125" style="4" customWidth="1"/>
    <col min="13570" max="13570" width="22.42578125" style="4" customWidth="1"/>
    <col min="13571" max="13571" width="12.140625" style="4" bestFit="1" customWidth="1"/>
    <col min="13572" max="13572" width="8.140625" style="4" customWidth="1"/>
    <col min="13573" max="13573" width="8.5703125" style="4" customWidth="1"/>
    <col min="13574" max="13574" width="17" style="4" bestFit="1" customWidth="1"/>
    <col min="13575" max="13575" width="16.7109375" style="4" bestFit="1" customWidth="1"/>
    <col min="13576" max="13576" width="18" style="4" bestFit="1" customWidth="1"/>
    <col min="13577" max="13577" width="17.7109375" style="4" bestFit="1" customWidth="1"/>
    <col min="13578" max="13578" width="13.5703125" style="4" customWidth="1"/>
    <col min="13579" max="13579" width="18.5703125" style="4" bestFit="1" customWidth="1"/>
    <col min="13580" max="13580" width="15.5703125" style="4" customWidth="1"/>
    <col min="13581" max="13581" width="13.5703125" style="4" customWidth="1"/>
    <col min="13582" max="13824" width="11.42578125" style="4"/>
    <col min="13825" max="13825" width="2.5703125" style="4" customWidth="1"/>
    <col min="13826" max="13826" width="22.42578125" style="4" customWidth="1"/>
    <col min="13827" max="13827" width="12.140625" style="4" bestFit="1" customWidth="1"/>
    <col min="13828" max="13828" width="8.140625" style="4" customWidth="1"/>
    <col min="13829" max="13829" width="8.5703125" style="4" customWidth="1"/>
    <col min="13830" max="13830" width="17" style="4" bestFit="1" customWidth="1"/>
    <col min="13831" max="13831" width="16.7109375" style="4" bestFit="1" customWidth="1"/>
    <col min="13832" max="13832" width="18" style="4" bestFit="1" customWidth="1"/>
    <col min="13833" max="13833" width="17.7109375" style="4" bestFit="1" customWidth="1"/>
    <col min="13834" max="13834" width="13.5703125" style="4" customWidth="1"/>
    <col min="13835" max="13835" width="18.5703125" style="4" bestFit="1" customWidth="1"/>
    <col min="13836" max="13836" width="15.5703125" style="4" customWidth="1"/>
    <col min="13837" max="13837" width="13.5703125" style="4" customWidth="1"/>
    <col min="13838" max="14080" width="11.42578125" style="4"/>
    <col min="14081" max="14081" width="2.5703125" style="4" customWidth="1"/>
    <col min="14082" max="14082" width="22.42578125" style="4" customWidth="1"/>
    <col min="14083" max="14083" width="12.140625" style="4" bestFit="1" customWidth="1"/>
    <col min="14084" max="14084" width="8.140625" style="4" customWidth="1"/>
    <col min="14085" max="14085" width="8.5703125" style="4" customWidth="1"/>
    <col min="14086" max="14086" width="17" style="4" bestFit="1" customWidth="1"/>
    <col min="14087" max="14087" width="16.7109375" style="4" bestFit="1" customWidth="1"/>
    <col min="14088" max="14088" width="18" style="4" bestFit="1" customWidth="1"/>
    <col min="14089" max="14089" width="17.7109375" style="4" bestFit="1" customWidth="1"/>
    <col min="14090" max="14090" width="13.5703125" style="4" customWidth="1"/>
    <col min="14091" max="14091" width="18.5703125" style="4" bestFit="1" customWidth="1"/>
    <col min="14092" max="14092" width="15.5703125" style="4" customWidth="1"/>
    <col min="14093" max="14093" width="13.5703125" style="4" customWidth="1"/>
    <col min="14094" max="14336" width="11.42578125" style="4"/>
    <col min="14337" max="14337" width="2.5703125" style="4" customWidth="1"/>
    <col min="14338" max="14338" width="22.42578125" style="4" customWidth="1"/>
    <col min="14339" max="14339" width="12.140625" style="4" bestFit="1" customWidth="1"/>
    <col min="14340" max="14340" width="8.140625" style="4" customWidth="1"/>
    <col min="14341" max="14341" width="8.5703125" style="4" customWidth="1"/>
    <col min="14342" max="14342" width="17" style="4" bestFit="1" customWidth="1"/>
    <col min="14343" max="14343" width="16.7109375" style="4" bestFit="1" customWidth="1"/>
    <col min="14344" max="14344" width="18" style="4" bestFit="1" customWidth="1"/>
    <col min="14345" max="14345" width="17.7109375" style="4" bestFit="1" customWidth="1"/>
    <col min="14346" max="14346" width="13.5703125" style="4" customWidth="1"/>
    <col min="14347" max="14347" width="18.5703125" style="4" bestFit="1" customWidth="1"/>
    <col min="14348" max="14348" width="15.5703125" style="4" customWidth="1"/>
    <col min="14349" max="14349" width="13.5703125" style="4" customWidth="1"/>
    <col min="14350" max="14592" width="11.42578125" style="4"/>
    <col min="14593" max="14593" width="2.5703125" style="4" customWidth="1"/>
    <col min="14594" max="14594" width="22.42578125" style="4" customWidth="1"/>
    <col min="14595" max="14595" width="12.140625" style="4" bestFit="1" customWidth="1"/>
    <col min="14596" max="14596" width="8.140625" style="4" customWidth="1"/>
    <col min="14597" max="14597" width="8.5703125" style="4" customWidth="1"/>
    <col min="14598" max="14598" width="17" style="4" bestFit="1" customWidth="1"/>
    <col min="14599" max="14599" width="16.7109375" style="4" bestFit="1" customWidth="1"/>
    <col min="14600" max="14600" width="18" style="4" bestFit="1" customWidth="1"/>
    <col min="14601" max="14601" width="17.7109375" style="4" bestFit="1" customWidth="1"/>
    <col min="14602" max="14602" width="13.5703125" style="4" customWidth="1"/>
    <col min="14603" max="14603" width="18.5703125" style="4" bestFit="1" customWidth="1"/>
    <col min="14604" max="14604" width="15.5703125" style="4" customWidth="1"/>
    <col min="14605" max="14605" width="13.5703125" style="4" customWidth="1"/>
    <col min="14606" max="14848" width="11.42578125" style="4"/>
    <col min="14849" max="14849" width="2.5703125" style="4" customWidth="1"/>
    <col min="14850" max="14850" width="22.42578125" style="4" customWidth="1"/>
    <col min="14851" max="14851" width="12.140625" style="4" bestFit="1" customWidth="1"/>
    <col min="14852" max="14852" width="8.140625" style="4" customWidth="1"/>
    <col min="14853" max="14853" width="8.5703125" style="4" customWidth="1"/>
    <col min="14854" max="14854" width="17" style="4" bestFit="1" customWidth="1"/>
    <col min="14855" max="14855" width="16.7109375" style="4" bestFit="1" customWidth="1"/>
    <col min="14856" max="14856" width="18" style="4" bestFit="1" customWidth="1"/>
    <col min="14857" max="14857" width="17.7109375" style="4" bestFit="1" customWidth="1"/>
    <col min="14858" max="14858" width="13.5703125" style="4" customWidth="1"/>
    <col min="14859" max="14859" width="18.5703125" style="4" bestFit="1" customWidth="1"/>
    <col min="14860" max="14860" width="15.5703125" style="4" customWidth="1"/>
    <col min="14861" max="14861" width="13.5703125" style="4" customWidth="1"/>
    <col min="14862" max="15104" width="11.42578125" style="4"/>
    <col min="15105" max="15105" width="2.5703125" style="4" customWidth="1"/>
    <col min="15106" max="15106" width="22.42578125" style="4" customWidth="1"/>
    <col min="15107" max="15107" width="12.140625" style="4" bestFit="1" customWidth="1"/>
    <col min="15108" max="15108" width="8.140625" style="4" customWidth="1"/>
    <col min="15109" max="15109" width="8.5703125" style="4" customWidth="1"/>
    <col min="15110" max="15110" width="17" style="4" bestFit="1" customWidth="1"/>
    <col min="15111" max="15111" width="16.7109375" style="4" bestFit="1" customWidth="1"/>
    <col min="15112" max="15112" width="18" style="4" bestFit="1" customWidth="1"/>
    <col min="15113" max="15113" width="17.7109375" style="4" bestFit="1" customWidth="1"/>
    <col min="15114" max="15114" width="13.5703125" style="4" customWidth="1"/>
    <col min="15115" max="15115" width="18.5703125" style="4" bestFit="1" customWidth="1"/>
    <col min="15116" max="15116" width="15.5703125" style="4" customWidth="1"/>
    <col min="15117" max="15117" width="13.5703125" style="4" customWidth="1"/>
    <col min="15118" max="15360" width="11.42578125" style="4"/>
    <col min="15361" max="15361" width="2.5703125" style="4" customWidth="1"/>
    <col min="15362" max="15362" width="22.42578125" style="4" customWidth="1"/>
    <col min="15363" max="15363" width="12.140625" style="4" bestFit="1" customWidth="1"/>
    <col min="15364" max="15364" width="8.140625" style="4" customWidth="1"/>
    <col min="15365" max="15365" width="8.5703125" style="4" customWidth="1"/>
    <col min="15366" max="15366" width="17" style="4" bestFit="1" customWidth="1"/>
    <col min="15367" max="15367" width="16.7109375" style="4" bestFit="1" customWidth="1"/>
    <col min="15368" max="15368" width="18" style="4" bestFit="1" customWidth="1"/>
    <col min="15369" max="15369" width="17.7109375" style="4" bestFit="1" customWidth="1"/>
    <col min="15370" max="15370" width="13.5703125" style="4" customWidth="1"/>
    <col min="15371" max="15371" width="18.5703125" style="4" bestFit="1" customWidth="1"/>
    <col min="15372" max="15372" width="15.5703125" style="4" customWidth="1"/>
    <col min="15373" max="15373" width="13.5703125" style="4" customWidth="1"/>
    <col min="15374" max="15616" width="11.42578125" style="4"/>
    <col min="15617" max="15617" width="2.5703125" style="4" customWidth="1"/>
    <col min="15618" max="15618" width="22.42578125" style="4" customWidth="1"/>
    <col min="15619" max="15619" width="12.140625" style="4" bestFit="1" customWidth="1"/>
    <col min="15620" max="15620" width="8.140625" style="4" customWidth="1"/>
    <col min="15621" max="15621" width="8.5703125" style="4" customWidth="1"/>
    <col min="15622" max="15622" width="17" style="4" bestFit="1" customWidth="1"/>
    <col min="15623" max="15623" width="16.7109375" style="4" bestFit="1" customWidth="1"/>
    <col min="15624" max="15624" width="18" style="4" bestFit="1" customWidth="1"/>
    <col min="15625" max="15625" width="17.7109375" style="4" bestFit="1" customWidth="1"/>
    <col min="15626" max="15626" width="13.5703125" style="4" customWidth="1"/>
    <col min="15627" max="15627" width="18.5703125" style="4" bestFit="1" customWidth="1"/>
    <col min="15628" max="15628" width="15.5703125" style="4" customWidth="1"/>
    <col min="15629" max="15629" width="13.5703125" style="4" customWidth="1"/>
    <col min="15630" max="15872" width="11.42578125" style="4"/>
    <col min="15873" max="15873" width="2.5703125" style="4" customWidth="1"/>
    <col min="15874" max="15874" width="22.42578125" style="4" customWidth="1"/>
    <col min="15875" max="15875" width="12.140625" style="4" bestFit="1" customWidth="1"/>
    <col min="15876" max="15876" width="8.140625" style="4" customWidth="1"/>
    <col min="15877" max="15877" width="8.5703125" style="4" customWidth="1"/>
    <col min="15878" max="15878" width="17" style="4" bestFit="1" customWidth="1"/>
    <col min="15879" max="15879" width="16.7109375" style="4" bestFit="1" customWidth="1"/>
    <col min="15880" max="15880" width="18" style="4" bestFit="1" customWidth="1"/>
    <col min="15881" max="15881" width="17.7109375" style="4" bestFit="1" customWidth="1"/>
    <col min="15882" max="15882" width="13.5703125" style="4" customWidth="1"/>
    <col min="15883" max="15883" width="18.5703125" style="4" bestFit="1" customWidth="1"/>
    <col min="15884" max="15884" width="15.5703125" style="4" customWidth="1"/>
    <col min="15885" max="15885" width="13.5703125" style="4" customWidth="1"/>
    <col min="15886" max="16128" width="11.42578125" style="4"/>
    <col min="16129" max="16129" width="2.5703125" style="4" customWidth="1"/>
    <col min="16130" max="16130" width="22.42578125" style="4" customWidth="1"/>
    <col min="16131" max="16131" width="12.140625" style="4" bestFit="1" customWidth="1"/>
    <col min="16132" max="16132" width="8.140625" style="4" customWidth="1"/>
    <col min="16133" max="16133" width="8.5703125" style="4" customWidth="1"/>
    <col min="16134" max="16134" width="17" style="4" bestFit="1" customWidth="1"/>
    <col min="16135" max="16135" width="16.7109375" style="4" bestFit="1" customWidth="1"/>
    <col min="16136" max="16136" width="18" style="4" bestFit="1" customWidth="1"/>
    <col min="16137" max="16137" width="17.7109375" style="4" bestFit="1" customWidth="1"/>
    <col min="16138" max="16138" width="13.5703125" style="4" customWidth="1"/>
    <col min="16139" max="16139" width="18.5703125" style="4" bestFit="1" customWidth="1"/>
    <col min="16140" max="16140" width="15.5703125" style="4" customWidth="1"/>
    <col min="16141" max="16141" width="13.5703125" style="4" customWidth="1"/>
    <col min="16142" max="16384" width="11.42578125" style="4"/>
  </cols>
  <sheetData>
    <row r="1" spans="1:13" x14ac:dyDescent="0.2">
      <c r="A1" s="1" t="s">
        <v>0</v>
      </c>
      <c r="B1" s="1"/>
      <c r="C1" s="2"/>
      <c r="D1" s="2"/>
      <c r="E1" s="3"/>
    </row>
    <row r="2" spans="1:13" x14ac:dyDescent="0.2">
      <c r="A2" s="5"/>
      <c r="B2" s="1"/>
      <c r="C2" s="2"/>
      <c r="D2" s="2"/>
      <c r="E2" s="3"/>
    </row>
    <row r="3" spans="1:13" x14ac:dyDescent="0.2">
      <c r="A3" s="6" t="s">
        <v>1</v>
      </c>
      <c r="B3" s="6"/>
      <c r="C3" s="2"/>
      <c r="D3" s="2"/>
    </row>
    <row r="4" spans="1:13" x14ac:dyDescent="0.2">
      <c r="A4" s="7" t="s">
        <v>2</v>
      </c>
      <c r="B4" s="6"/>
      <c r="C4" s="2"/>
      <c r="D4" s="2"/>
      <c r="M4" s="8"/>
    </row>
    <row r="5" spans="1:13" x14ac:dyDescent="0.2">
      <c r="A5" s="9" t="s">
        <v>3</v>
      </c>
      <c r="B5" s="9"/>
      <c r="C5" s="10" t="s">
        <v>4</v>
      </c>
      <c r="D5" s="75" t="s">
        <v>5</v>
      </c>
      <c r="E5" s="75"/>
      <c r="F5" s="10" t="s">
        <v>6</v>
      </c>
      <c r="G5" s="11" t="s">
        <v>7</v>
      </c>
      <c r="H5" s="11" t="s">
        <v>8</v>
      </c>
      <c r="I5" s="10" t="s">
        <v>9</v>
      </c>
      <c r="J5" s="10" t="s">
        <v>10</v>
      </c>
      <c r="K5" s="10" t="s">
        <v>10</v>
      </c>
      <c r="L5" s="10" t="s">
        <v>10</v>
      </c>
      <c r="M5" s="10" t="s">
        <v>10</v>
      </c>
    </row>
    <row r="6" spans="1:13" x14ac:dyDescent="0.2">
      <c r="C6" s="12" t="s">
        <v>11</v>
      </c>
      <c r="D6" s="13" t="s">
        <v>12</v>
      </c>
      <c r="E6" s="13" t="s">
        <v>13</v>
      </c>
      <c r="F6" s="12" t="s">
        <v>14</v>
      </c>
      <c r="G6" s="12" t="s">
        <v>15</v>
      </c>
      <c r="H6" s="13" t="s">
        <v>16</v>
      </c>
      <c r="I6" s="13" t="s">
        <v>17</v>
      </c>
      <c r="J6" s="13" t="s">
        <v>18</v>
      </c>
      <c r="K6" s="13" t="s">
        <v>19</v>
      </c>
      <c r="L6" s="14" t="s">
        <v>20</v>
      </c>
      <c r="M6" s="15" t="s">
        <v>21</v>
      </c>
    </row>
    <row r="7" spans="1:13" x14ac:dyDescent="0.2">
      <c r="A7" s="8"/>
      <c r="B7" s="8"/>
      <c r="C7" s="8"/>
      <c r="D7" s="8"/>
      <c r="E7" s="8"/>
      <c r="F7" s="16" t="s">
        <v>22</v>
      </c>
      <c r="G7" s="16" t="s">
        <v>11</v>
      </c>
      <c r="H7" s="16" t="s">
        <v>22</v>
      </c>
      <c r="I7" s="17"/>
      <c r="J7" s="8"/>
      <c r="K7" s="8"/>
      <c r="L7" s="8"/>
      <c r="M7" s="8"/>
    </row>
    <row r="8" spans="1:13" x14ac:dyDescent="0.2">
      <c r="F8" s="12"/>
      <c r="G8" s="18"/>
      <c r="H8" s="12"/>
      <c r="I8" s="13"/>
    </row>
    <row r="9" spans="1:13" x14ac:dyDescent="0.2">
      <c r="A9" s="76" t="s">
        <v>23</v>
      </c>
      <c r="B9" s="76"/>
      <c r="C9" s="4">
        <v>1952365</v>
      </c>
      <c r="D9" s="19">
        <v>0.93</v>
      </c>
      <c r="E9" s="19">
        <v>0.56000000000000005</v>
      </c>
      <c r="F9" s="4">
        <v>3655819</v>
      </c>
      <c r="G9" s="4">
        <f>+J9+K9+L9+M9</f>
        <v>4485903</v>
      </c>
      <c r="H9" s="20">
        <f t="shared" ref="H9:H35" si="0">G9-F9</f>
        <v>830084</v>
      </c>
      <c r="I9" s="4">
        <v>209171</v>
      </c>
      <c r="J9" s="4">
        <v>0</v>
      </c>
      <c r="K9" s="4">
        <f>180282+917167+636741</f>
        <v>1734190</v>
      </c>
      <c r="L9" s="4">
        <v>0</v>
      </c>
      <c r="M9" s="4">
        <v>2751713</v>
      </c>
    </row>
    <row r="10" spans="1:13" x14ac:dyDescent="0.2">
      <c r="A10" s="76" t="s">
        <v>24</v>
      </c>
      <c r="B10" s="76"/>
      <c r="C10" s="4">
        <v>1547890</v>
      </c>
      <c r="D10" s="21">
        <v>8.0000000000000004E-4</v>
      </c>
      <c r="E10" s="21">
        <v>8.0000000000000004E-4</v>
      </c>
      <c r="F10" s="4">
        <v>1547890</v>
      </c>
      <c r="G10" s="4">
        <f>+J10+K10+L10+M10</f>
        <v>154789</v>
      </c>
      <c r="H10" s="20">
        <f>G10-F10</f>
        <v>-1393101</v>
      </c>
      <c r="I10" s="4">
        <v>1406260</v>
      </c>
      <c r="J10" s="4">
        <v>0</v>
      </c>
      <c r="K10" s="4">
        <v>0</v>
      </c>
      <c r="L10" s="4">
        <v>0</v>
      </c>
      <c r="M10" s="4">
        <v>154789</v>
      </c>
    </row>
    <row r="11" spans="1:13" s="20" customFormat="1" x14ac:dyDescent="0.2">
      <c r="A11" s="5" t="s">
        <v>25</v>
      </c>
      <c r="B11" s="7"/>
      <c r="C11" s="4">
        <v>9291367</v>
      </c>
      <c r="D11" s="19">
        <v>0.09</v>
      </c>
      <c r="E11" s="19">
        <v>0.31</v>
      </c>
      <c r="F11" s="4">
        <v>30233918</v>
      </c>
      <c r="G11" s="20">
        <f t="shared" ref="G11:G35" si="1">+J11+K11+L11+M11</f>
        <v>34540516</v>
      </c>
      <c r="H11" s="20">
        <f t="shared" si="0"/>
        <v>4306598</v>
      </c>
      <c r="I11" s="4">
        <v>16250356</v>
      </c>
      <c r="J11" s="4">
        <v>0</v>
      </c>
      <c r="K11" s="4">
        <f>2485394+17886454+603695</f>
        <v>20975543</v>
      </c>
      <c r="L11" s="4">
        <v>23183</v>
      </c>
      <c r="M11" s="4">
        <v>13541790</v>
      </c>
    </row>
    <row r="12" spans="1:13" s="20" customFormat="1" x14ac:dyDescent="0.2">
      <c r="A12" s="5" t="s">
        <v>26</v>
      </c>
      <c r="B12" s="5"/>
      <c r="C12" s="4">
        <v>4045616</v>
      </c>
      <c r="D12" s="19">
        <v>3.16</v>
      </c>
      <c r="E12" s="19">
        <v>0.95</v>
      </c>
      <c r="F12" s="4">
        <v>13778138</v>
      </c>
      <c r="G12" s="20">
        <f t="shared" si="1"/>
        <v>15300086</v>
      </c>
      <c r="H12" s="20">
        <f t="shared" si="0"/>
        <v>1521948</v>
      </c>
      <c r="I12" s="4">
        <v>244745</v>
      </c>
      <c r="J12" s="4">
        <v>0</v>
      </c>
      <c r="K12" s="4">
        <f>1537957+7857882+5852+339621</f>
        <v>9741312</v>
      </c>
      <c r="L12" s="4">
        <v>0</v>
      </c>
      <c r="M12" s="4">
        <v>5558774</v>
      </c>
    </row>
    <row r="13" spans="1:13" x14ac:dyDescent="0.2">
      <c r="A13" s="5" t="s">
        <v>27</v>
      </c>
      <c r="B13" s="5"/>
      <c r="C13" s="4">
        <v>4393454</v>
      </c>
      <c r="D13" s="19">
        <v>5.0199999999999996</v>
      </c>
      <c r="E13" s="19">
        <v>0.1</v>
      </c>
      <c r="F13" s="4">
        <v>60840637</v>
      </c>
      <c r="G13" s="4">
        <f>+J13+K13+L13+M13</f>
        <v>68085463</v>
      </c>
      <c r="H13" s="20">
        <f>G13-F13</f>
        <v>7244826</v>
      </c>
      <c r="I13" s="4">
        <v>66257</v>
      </c>
      <c r="J13" s="4">
        <v>53447610</v>
      </c>
      <c r="K13" s="4">
        <f>284372+2715201+0</f>
        <v>2999573</v>
      </c>
      <c r="L13" s="4">
        <v>0</v>
      </c>
      <c r="M13" s="4">
        <v>11638280</v>
      </c>
    </row>
    <row r="14" spans="1:13" x14ac:dyDescent="0.2">
      <c r="A14" s="5" t="s">
        <v>28</v>
      </c>
      <c r="B14" s="5"/>
      <c r="C14" s="4">
        <v>6598935</v>
      </c>
      <c r="D14" s="19">
        <v>4.04</v>
      </c>
      <c r="E14" s="19">
        <v>0.81</v>
      </c>
      <c r="F14" s="4">
        <v>39013277</v>
      </c>
      <c r="G14" s="20">
        <f>+J14+K14+L14+M14</f>
        <v>43430323</v>
      </c>
      <c r="H14" s="20">
        <f>G14-F14</f>
        <v>4417046</v>
      </c>
      <c r="I14" s="4">
        <v>329660</v>
      </c>
      <c r="J14" s="4">
        <v>17071945</v>
      </c>
      <c r="K14" s="4">
        <f>2246028+6099547+456477+6664256</f>
        <v>15466308</v>
      </c>
      <c r="L14" s="4">
        <v>0</v>
      </c>
      <c r="M14" s="4">
        <v>10892070</v>
      </c>
    </row>
    <row r="15" spans="1:13" x14ac:dyDescent="0.2">
      <c r="A15" s="77" t="s">
        <v>29</v>
      </c>
      <c r="B15" s="78"/>
      <c r="C15" s="4">
        <v>26951173</v>
      </c>
      <c r="D15" s="19">
        <v>11.31</v>
      </c>
      <c r="E15" s="19">
        <v>0.36</v>
      </c>
      <c r="F15" s="4">
        <v>402671006</v>
      </c>
      <c r="G15" s="4">
        <f>+J15+K15+L15+M15</f>
        <v>406123516</v>
      </c>
      <c r="H15" s="20">
        <f t="shared" si="0"/>
        <v>3452510</v>
      </c>
      <c r="I15" s="4">
        <v>9735130</v>
      </c>
      <c r="J15" s="4">
        <v>373772816</v>
      </c>
      <c r="K15" s="4">
        <f>892057+4507470</f>
        <v>5399527</v>
      </c>
      <c r="L15" s="4">
        <v>0</v>
      </c>
      <c r="M15" s="4">
        <v>26951173</v>
      </c>
    </row>
    <row r="16" spans="1:13" s="20" customFormat="1" x14ac:dyDescent="0.2">
      <c r="A16" s="5" t="s">
        <v>30</v>
      </c>
      <c r="B16" s="7"/>
      <c r="C16" s="4">
        <v>3581393</v>
      </c>
      <c r="D16" s="19">
        <v>2.86</v>
      </c>
      <c r="E16" s="19">
        <v>0.63</v>
      </c>
      <c r="F16" s="4">
        <v>16337115</v>
      </c>
      <c r="G16" s="20">
        <f>+J16+K16+L16+M16</f>
        <v>17187043</v>
      </c>
      <c r="H16" s="20">
        <f t="shared" si="0"/>
        <v>849928</v>
      </c>
      <c r="I16" s="4">
        <v>157165</v>
      </c>
      <c r="J16" s="4">
        <v>0</v>
      </c>
      <c r="K16" s="4">
        <f>1751037+11004685</f>
        <v>12755722</v>
      </c>
      <c r="L16" s="4">
        <v>0</v>
      </c>
      <c r="M16" s="4">
        <v>4431321</v>
      </c>
    </row>
    <row r="17" spans="1:13" x14ac:dyDescent="0.2">
      <c r="A17" s="5" t="s">
        <v>31</v>
      </c>
      <c r="B17" s="7"/>
      <c r="C17" s="4">
        <v>38770213</v>
      </c>
      <c r="D17" s="19">
        <v>7.48</v>
      </c>
      <c r="E17" s="19">
        <v>0.08</v>
      </c>
      <c r="F17" s="4">
        <v>588247031</v>
      </c>
      <c r="G17" s="4">
        <f t="shared" si="1"/>
        <v>615498128</v>
      </c>
      <c r="H17" s="20">
        <f t="shared" si="0"/>
        <v>27251097</v>
      </c>
      <c r="I17" s="4">
        <v>1931624</v>
      </c>
      <c r="J17" s="4">
        <v>481800043</v>
      </c>
      <c r="K17" s="4">
        <f>10715487+30191602+4428445+22957529</f>
        <v>68293063</v>
      </c>
      <c r="L17" s="4">
        <v>178646</v>
      </c>
      <c r="M17" s="4">
        <v>65226376</v>
      </c>
    </row>
    <row r="18" spans="1:13" s="23" customFormat="1" x14ac:dyDescent="0.2">
      <c r="A18" s="5" t="s">
        <v>32</v>
      </c>
      <c r="B18" s="5"/>
      <c r="C18" s="20">
        <v>6609725</v>
      </c>
      <c r="D18" s="22">
        <v>5.49</v>
      </c>
      <c r="E18" s="22">
        <v>0.17</v>
      </c>
      <c r="F18" s="20">
        <v>95542494</v>
      </c>
      <c r="G18" s="20">
        <f t="shared" si="1"/>
        <v>106232881</v>
      </c>
      <c r="H18" s="20">
        <f t="shared" si="0"/>
        <v>10690387</v>
      </c>
      <c r="I18" s="20">
        <v>162364</v>
      </c>
      <c r="J18" s="20">
        <v>96023651</v>
      </c>
      <c r="K18" s="20">
        <f>1433589+1151694+1014222</f>
        <v>3599505</v>
      </c>
      <c r="L18" s="20">
        <v>0</v>
      </c>
      <c r="M18" s="20">
        <v>6609725</v>
      </c>
    </row>
    <row r="19" spans="1:13" x14ac:dyDescent="0.2">
      <c r="A19" s="5" t="s">
        <v>33</v>
      </c>
      <c r="B19" s="7"/>
      <c r="C19" s="4">
        <v>18384909</v>
      </c>
      <c r="D19" s="19">
        <v>6.11</v>
      </c>
      <c r="E19" s="19">
        <v>0.09</v>
      </c>
      <c r="F19" s="4">
        <v>290048344</v>
      </c>
      <c r="G19" s="4">
        <f>+J19+K19+L19+M19</f>
        <v>306331053</v>
      </c>
      <c r="H19" s="20">
        <f t="shared" si="0"/>
        <v>16282709</v>
      </c>
      <c r="I19" s="4">
        <v>11540834</v>
      </c>
      <c r="J19" s="4">
        <v>270085267</v>
      </c>
      <c r="K19" s="4">
        <f>26670+1551498</f>
        <v>1578168</v>
      </c>
      <c r="L19" s="4">
        <v>0</v>
      </c>
      <c r="M19" s="4">
        <v>34667618</v>
      </c>
    </row>
    <row r="20" spans="1:13" x14ac:dyDescent="0.2">
      <c r="A20" s="5" t="s">
        <v>34</v>
      </c>
      <c r="B20" s="5"/>
      <c r="C20" s="4">
        <v>106348847</v>
      </c>
      <c r="D20" s="19">
        <v>7.38</v>
      </c>
      <c r="E20" s="19">
        <v>0.36</v>
      </c>
      <c r="F20" s="4">
        <v>1582831343</v>
      </c>
      <c r="G20" s="4">
        <f t="shared" si="1"/>
        <v>1682318494</v>
      </c>
      <c r="H20" s="20">
        <f t="shared" si="0"/>
        <v>99487151</v>
      </c>
      <c r="I20" s="4">
        <v>20033511</v>
      </c>
      <c r="J20" s="4">
        <v>1369606187</v>
      </c>
      <c r="K20" s="4">
        <f>1968770+41444264+13715654+42491229</f>
        <v>99619917</v>
      </c>
      <c r="L20" s="4">
        <v>227083</v>
      </c>
      <c r="M20" s="4">
        <v>212865307</v>
      </c>
    </row>
    <row r="21" spans="1:13" x14ac:dyDescent="0.2">
      <c r="A21" s="5" t="s">
        <v>35</v>
      </c>
      <c r="B21" s="5"/>
      <c r="C21" s="4">
        <v>54847583</v>
      </c>
      <c r="D21" s="19">
        <v>8.9</v>
      </c>
      <c r="E21" s="19">
        <v>0.4</v>
      </c>
      <c r="F21" s="4">
        <v>819491444</v>
      </c>
      <c r="G21" s="4">
        <f t="shared" si="1"/>
        <v>857150181</v>
      </c>
      <c r="H21" s="20">
        <f t="shared" si="0"/>
        <v>37658737</v>
      </c>
      <c r="I21" s="4">
        <v>14604323</v>
      </c>
      <c r="J21" s="4">
        <v>770569360</v>
      </c>
      <c r="K21" s="4">
        <f>2163900+24771673+2655+4795000</f>
        <v>31733228</v>
      </c>
      <c r="L21" s="4">
        <v>10</v>
      </c>
      <c r="M21" s="4">
        <v>54847583</v>
      </c>
    </row>
    <row r="22" spans="1:13" x14ac:dyDescent="0.2">
      <c r="A22" s="5" t="s">
        <v>36</v>
      </c>
      <c r="B22" s="5"/>
      <c r="C22" s="4">
        <v>20303806</v>
      </c>
      <c r="D22" s="19">
        <v>6.44</v>
      </c>
      <c r="E22" s="19">
        <v>0.21</v>
      </c>
      <c r="F22" s="4">
        <v>268822567</v>
      </c>
      <c r="G22" s="4">
        <f t="shared" si="1"/>
        <v>283895087</v>
      </c>
      <c r="H22" s="20">
        <f t="shared" si="0"/>
        <v>15072520</v>
      </c>
      <c r="I22" s="4">
        <v>8565615</v>
      </c>
      <c r="J22" s="4">
        <v>224990146</v>
      </c>
      <c r="K22" s="4">
        <f>1938369+8180580+2773445+12663268</f>
        <v>25555662</v>
      </c>
      <c r="L22" s="4">
        <v>102557</v>
      </c>
      <c r="M22" s="4">
        <v>33246722</v>
      </c>
    </row>
    <row r="23" spans="1:13" x14ac:dyDescent="0.2">
      <c r="A23" s="5" t="s">
        <v>37</v>
      </c>
      <c r="B23" s="5"/>
      <c r="C23" s="4">
        <v>22365294</v>
      </c>
      <c r="D23" s="19">
        <v>10.95</v>
      </c>
      <c r="E23" s="19">
        <v>0.66</v>
      </c>
      <c r="F23" s="4">
        <v>343701116</v>
      </c>
      <c r="G23" s="4">
        <f t="shared" si="1"/>
        <v>348083072</v>
      </c>
      <c r="H23" s="20">
        <f t="shared" si="0"/>
        <v>4381956</v>
      </c>
      <c r="I23" s="4">
        <v>3711072</v>
      </c>
      <c r="J23" s="4">
        <v>267174667</v>
      </c>
      <c r="K23" s="4">
        <f>2159802+12906140+18810360+21816524</f>
        <v>55692826</v>
      </c>
      <c r="L23" s="4">
        <v>248022</v>
      </c>
      <c r="M23" s="4">
        <v>24967557</v>
      </c>
    </row>
    <row r="24" spans="1:13" x14ac:dyDescent="0.2">
      <c r="A24" s="5" t="s">
        <v>38</v>
      </c>
      <c r="B24" s="5"/>
      <c r="C24" s="4">
        <v>1547890</v>
      </c>
      <c r="D24" s="19">
        <v>1.36</v>
      </c>
      <c r="E24" s="19">
        <v>0.11</v>
      </c>
      <c r="F24" s="4">
        <v>4896981</v>
      </c>
      <c r="G24" s="4">
        <f t="shared" si="1"/>
        <v>5092789</v>
      </c>
      <c r="H24" s="20">
        <f t="shared" si="0"/>
        <v>195808</v>
      </c>
      <c r="I24" s="4">
        <v>1068267</v>
      </c>
      <c r="J24" s="4">
        <v>0</v>
      </c>
      <c r="K24" s="4">
        <f>192930+3156161</f>
        <v>3349091</v>
      </c>
      <c r="L24" s="4">
        <v>0</v>
      </c>
      <c r="M24" s="4">
        <v>1743698</v>
      </c>
    </row>
    <row r="25" spans="1:13" s="2" customFormat="1" x14ac:dyDescent="0.2">
      <c r="A25" s="5" t="s">
        <v>39</v>
      </c>
      <c r="B25" s="5"/>
      <c r="C25" s="4">
        <v>88108196</v>
      </c>
      <c r="D25" s="19">
        <v>9.06</v>
      </c>
      <c r="E25" s="19">
        <v>0.13</v>
      </c>
      <c r="F25" s="4">
        <v>1324460655</v>
      </c>
      <c r="G25" s="20">
        <f t="shared" si="1"/>
        <v>1341745103</v>
      </c>
      <c r="H25" s="20">
        <f t="shared" si="0"/>
        <v>17284448</v>
      </c>
      <c r="I25" s="4">
        <v>20922568</v>
      </c>
      <c r="J25" s="4">
        <v>1135145786</v>
      </c>
      <c r="K25" s="4">
        <f>4318282+47006941+10910253+31766424</f>
        <v>94001900</v>
      </c>
      <c r="L25" s="4">
        <v>273149</v>
      </c>
      <c r="M25" s="4">
        <v>112324268</v>
      </c>
    </row>
    <row r="26" spans="1:13" s="2" customFormat="1" x14ac:dyDescent="0.2">
      <c r="A26" s="5" t="s">
        <v>40</v>
      </c>
      <c r="B26" s="5"/>
      <c r="C26" s="4">
        <v>12219477</v>
      </c>
      <c r="D26" s="19">
        <v>2.87</v>
      </c>
      <c r="E26" s="19">
        <v>0.37</v>
      </c>
      <c r="F26" s="4">
        <v>122872746</v>
      </c>
      <c r="G26" s="20">
        <f t="shared" si="1"/>
        <v>139626820</v>
      </c>
      <c r="H26" s="20">
        <f>G26-F26</f>
        <v>16754074</v>
      </c>
      <c r="I26" s="4">
        <v>9280160</v>
      </c>
      <c r="J26" s="4">
        <v>32074081</v>
      </c>
      <c r="K26" s="4">
        <f>4090263+43189230+327519+31956891</f>
        <v>79563903</v>
      </c>
      <c r="L26" s="4">
        <v>0</v>
      </c>
      <c r="M26" s="4">
        <v>27988836</v>
      </c>
    </row>
    <row r="27" spans="1:13" x14ac:dyDescent="0.2">
      <c r="A27" s="5" t="s">
        <v>41</v>
      </c>
      <c r="B27" s="7"/>
      <c r="C27" s="4">
        <v>30268664</v>
      </c>
      <c r="D27" s="19">
        <v>11.3</v>
      </c>
      <c r="E27" s="19">
        <v>0.04</v>
      </c>
      <c r="F27" s="4">
        <v>482657704</v>
      </c>
      <c r="G27" s="4">
        <f t="shared" si="1"/>
        <v>490961236</v>
      </c>
      <c r="H27" s="20">
        <f>G27-F27</f>
        <v>8303532</v>
      </c>
      <c r="I27" s="4">
        <v>264870</v>
      </c>
      <c r="J27" s="4">
        <v>418008574</v>
      </c>
      <c r="K27" s="4">
        <f>34380466+0</f>
        <v>34380466</v>
      </c>
      <c r="L27" s="4">
        <v>0</v>
      </c>
      <c r="M27" s="4">
        <v>38572196</v>
      </c>
    </row>
    <row r="28" spans="1:13" s="20" customFormat="1" x14ac:dyDescent="0.2">
      <c r="A28" s="5" t="s">
        <v>42</v>
      </c>
      <c r="B28" s="5"/>
      <c r="C28" s="4">
        <v>1547890</v>
      </c>
      <c r="D28" s="19">
        <v>3.39</v>
      </c>
      <c r="E28" s="19">
        <v>0.12</v>
      </c>
      <c r="F28" s="4">
        <v>14790159</v>
      </c>
      <c r="G28" s="20">
        <f t="shared" si="1"/>
        <v>16739507</v>
      </c>
      <c r="H28" s="20">
        <f t="shared" ref="H28:H34" si="2">G28-F28</f>
        <v>1949348</v>
      </c>
      <c r="I28" s="4">
        <v>30930</v>
      </c>
      <c r="J28" s="4">
        <v>12397779</v>
      </c>
      <c r="K28" s="4">
        <f>149552+412190+245041</f>
        <v>806783</v>
      </c>
      <c r="L28" s="4">
        <v>69807</v>
      </c>
      <c r="M28" s="4">
        <v>3465138</v>
      </c>
    </row>
    <row r="29" spans="1:13" s="20" customFormat="1" x14ac:dyDescent="0.2">
      <c r="A29" s="5" t="s">
        <v>43</v>
      </c>
      <c r="B29" s="5"/>
      <c r="C29" s="4">
        <v>68598760</v>
      </c>
      <c r="D29" s="19">
        <v>8.92</v>
      </c>
      <c r="E29" s="19">
        <v>0.25</v>
      </c>
      <c r="F29" s="4">
        <v>1015730079</v>
      </c>
      <c r="G29" s="20">
        <f t="shared" si="1"/>
        <v>1026433949</v>
      </c>
      <c r="H29" s="20">
        <f t="shared" si="2"/>
        <v>10703870</v>
      </c>
      <c r="I29" s="4">
        <v>8920539</v>
      </c>
      <c r="J29" s="4">
        <v>912147690</v>
      </c>
      <c r="K29" s="4">
        <f>4366601+8785853+821809+20744031</f>
        <v>34718294</v>
      </c>
      <c r="L29" s="4">
        <v>350012</v>
      </c>
      <c r="M29" s="4">
        <v>79217953</v>
      </c>
    </row>
    <row r="30" spans="1:13" x14ac:dyDescent="0.2">
      <c r="A30" s="5" t="s">
        <v>44</v>
      </c>
      <c r="B30" s="5"/>
      <c r="C30" s="4">
        <v>18074494</v>
      </c>
      <c r="D30" s="19">
        <v>10.63</v>
      </c>
      <c r="E30" s="19">
        <v>0.08</v>
      </c>
      <c r="F30" s="4">
        <v>282811983</v>
      </c>
      <c r="G30" s="4">
        <f t="shared" si="1"/>
        <v>287622394</v>
      </c>
      <c r="H30" s="20">
        <f t="shared" si="2"/>
        <v>4810411</v>
      </c>
      <c r="I30" s="4">
        <v>587743</v>
      </c>
      <c r="J30" s="4">
        <v>261378205</v>
      </c>
      <c r="K30" s="4">
        <f>306115+3053077+92</f>
        <v>3359284</v>
      </c>
      <c r="M30" s="4">
        <v>22884905</v>
      </c>
    </row>
    <row r="31" spans="1:13" s="20" customFormat="1" x14ac:dyDescent="0.2">
      <c r="A31" s="5" t="s">
        <v>45</v>
      </c>
      <c r="B31" s="7"/>
      <c r="C31" s="4">
        <v>33684765</v>
      </c>
      <c r="D31" s="19">
        <v>8.64</v>
      </c>
      <c r="E31" s="19">
        <v>0.17</v>
      </c>
      <c r="F31" s="4">
        <v>521849699</v>
      </c>
      <c r="G31" s="20">
        <f>+J31+K31+L31+M31</f>
        <v>533339103</v>
      </c>
      <c r="H31" s="20">
        <f>G31-F31</f>
        <v>11489404</v>
      </c>
      <c r="I31" s="4">
        <v>6478410</v>
      </c>
      <c r="J31" s="4">
        <v>477162030</v>
      </c>
      <c r="K31" s="4">
        <f>254373+1798296+10044369</f>
        <v>12097038</v>
      </c>
      <c r="L31" s="4">
        <v>85770</v>
      </c>
      <c r="M31" s="4">
        <v>43994265</v>
      </c>
    </row>
    <row r="32" spans="1:13" s="20" customFormat="1" x14ac:dyDescent="0.2">
      <c r="A32" s="5" t="s">
        <v>46</v>
      </c>
      <c r="B32" s="7"/>
      <c r="C32" s="4">
        <v>62388762</v>
      </c>
      <c r="D32" s="19">
        <v>13.01</v>
      </c>
      <c r="E32" s="19">
        <v>0.37</v>
      </c>
      <c r="F32" s="4">
        <v>967660378</v>
      </c>
      <c r="G32" s="20">
        <f t="shared" si="1"/>
        <v>970856113</v>
      </c>
      <c r="H32" s="20">
        <f t="shared" si="2"/>
        <v>3195735</v>
      </c>
      <c r="I32" s="4">
        <v>5569907</v>
      </c>
      <c r="J32" s="4">
        <v>897689794</v>
      </c>
      <c r="K32" s="4">
        <f>1073318+4321359+844971+1434324</f>
        <v>7673972</v>
      </c>
      <c r="L32" s="4">
        <v>9236</v>
      </c>
      <c r="M32" s="4">
        <v>65483111</v>
      </c>
    </row>
    <row r="33" spans="1:13" x14ac:dyDescent="0.2">
      <c r="A33" s="5" t="s">
        <v>47</v>
      </c>
      <c r="B33" s="5"/>
      <c r="C33" s="4">
        <v>17269473</v>
      </c>
      <c r="D33" s="19">
        <v>8.52</v>
      </c>
      <c r="E33" s="19">
        <v>0.21</v>
      </c>
      <c r="F33" s="4">
        <v>269919172</v>
      </c>
      <c r="G33" s="4">
        <f t="shared" si="1"/>
        <v>273265390</v>
      </c>
      <c r="H33" s="20">
        <f t="shared" si="2"/>
        <v>3346218</v>
      </c>
      <c r="I33" s="4">
        <v>11809091</v>
      </c>
      <c r="J33" s="4">
        <v>251632307</v>
      </c>
      <c r="K33" s="4">
        <f>622435+172422+230783</f>
        <v>1025640</v>
      </c>
      <c r="L33" s="4">
        <v>1462</v>
      </c>
      <c r="M33" s="4">
        <v>20605981</v>
      </c>
    </row>
    <row r="34" spans="1:13" s="20" customFormat="1" x14ac:dyDescent="0.2">
      <c r="A34" s="5" t="s">
        <v>48</v>
      </c>
      <c r="B34" s="5"/>
      <c r="C34" s="4">
        <v>6431085</v>
      </c>
      <c r="D34" s="19">
        <v>6.32</v>
      </c>
      <c r="E34" s="19">
        <v>0.47</v>
      </c>
      <c r="F34" s="4">
        <v>57772789</v>
      </c>
      <c r="G34" s="4">
        <f t="shared" si="1"/>
        <v>58004534</v>
      </c>
      <c r="H34" s="20">
        <f t="shared" si="2"/>
        <v>231745</v>
      </c>
      <c r="I34" s="4">
        <v>773703</v>
      </c>
      <c r="J34" s="4">
        <v>37094957</v>
      </c>
      <c r="K34" s="4">
        <f>1371915+3331930+5457554+3171942</f>
        <v>13333341</v>
      </c>
      <c r="L34" s="4">
        <v>551709</v>
      </c>
      <c r="M34" s="4">
        <v>7024527</v>
      </c>
    </row>
    <row r="35" spans="1:13" x14ac:dyDescent="0.2">
      <c r="A35" s="5" t="s">
        <v>49</v>
      </c>
      <c r="B35" s="5"/>
      <c r="C35" s="4">
        <v>50885719</v>
      </c>
      <c r="D35" s="19">
        <v>8.9700000000000006</v>
      </c>
      <c r="E35" s="19">
        <v>0.09</v>
      </c>
      <c r="F35" s="4">
        <v>799556192</v>
      </c>
      <c r="G35" s="20">
        <f t="shared" si="1"/>
        <v>815082913</v>
      </c>
      <c r="H35" s="20">
        <f t="shared" si="0"/>
        <v>15526721</v>
      </c>
      <c r="I35" s="4">
        <v>8228374</v>
      </c>
      <c r="J35" s="4">
        <v>731620649</v>
      </c>
      <c r="K35" s="4">
        <f>589014+7111250+3203930+6570231</f>
        <v>17474425</v>
      </c>
      <c r="L35" s="4">
        <v>0</v>
      </c>
      <c r="M35" s="4">
        <v>65987839</v>
      </c>
    </row>
    <row r="36" spans="1:13" x14ac:dyDescent="0.2">
      <c r="A36" s="24" t="s">
        <v>50</v>
      </c>
      <c r="B36" s="24"/>
      <c r="C36" s="25">
        <f>SUM(C9:C35)</f>
        <v>717017745</v>
      </c>
      <c r="D36" s="26"/>
      <c r="E36" s="26"/>
      <c r="F36" s="25">
        <f t="shared" ref="F36:M36" si="3">SUM(F9:F35)</f>
        <v>10421740676</v>
      </c>
      <c r="G36" s="25">
        <f t="shared" si="3"/>
        <v>10747586386</v>
      </c>
      <c r="H36" s="25">
        <f t="shared" si="3"/>
        <v>325845710</v>
      </c>
      <c r="I36" s="25">
        <f t="shared" si="3"/>
        <v>162882649</v>
      </c>
      <c r="J36" s="25">
        <f t="shared" si="3"/>
        <v>9090893544</v>
      </c>
      <c r="K36" s="25">
        <f t="shared" si="3"/>
        <v>656928681</v>
      </c>
      <c r="L36" s="25">
        <f t="shared" si="3"/>
        <v>2120646</v>
      </c>
      <c r="M36" s="25">
        <f t="shared" si="3"/>
        <v>997643515</v>
      </c>
    </row>
    <row r="37" spans="1:13" x14ac:dyDescent="0.2">
      <c r="A37" s="27"/>
      <c r="B37" s="27"/>
      <c r="D37" s="19"/>
      <c r="E37" s="19"/>
      <c r="M37" s="28"/>
    </row>
    <row r="38" spans="1:13" s="20" customFormat="1" x14ac:dyDescent="0.2">
      <c r="A38" s="5" t="s">
        <v>51</v>
      </c>
      <c r="B38" s="7"/>
      <c r="C38" s="4">
        <v>2684882</v>
      </c>
      <c r="D38" s="19">
        <v>2.2799999999999998</v>
      </c>
      <c r="E38" s="19">
        <v>0.11</v>
      </c>
      <c r="F38" s="4">
        <v>41043815</v>
      </c>
      <c r="G38" s="4">
        <f>+J38+K38+L38+M38</f>
        <v>46767703</v>
      </c>
      <c r="H38" s="20">
        <f>G38-F38</f>
        <v>5723888</v>
      </c>
      <c r="I38" s="4">
        <v>9247480</v>
      </c>
      <c r="J38" s="4">
        <v>38258248</v>
      </c>
      <c r="K38" s="4">
        <f>83099+17586+0</f>
        <v>100685</v>
      </c>
      <c r="L38" s="4">
        <v>0</v>
      </c>
      <c r="M38" s="4">
        <v>8408770</v>
      </c>
    </row>
    <row r="39" spans="1:13" x14ac:dyDescent="0.2">
      <c r="A39" s="29" t="s">
        <v>52</v>
      </c>
      <c r="B39" s="29"/>
      <c r="C39" s="25">
        <f t="shared" ref="C39:H39" si="4">SUM(C38:C38)</f>
        <v>2684882</v>
      </c>
      <c r="D39" s="26"/>
      <c r="E39" s="26"/>
      <c r="F39" s="25">
        <f t="shared" si="4"/>
        <v>41043815</v>
      </c>
      <c r="G39" s="25">
        <f t="shared" si="4"/>
        <v>46767703</v>
      </c>
      <c r="H39" s="25">
        <f t="shared" si="4"/>
        <v>5723888</v>
      </c>
      <c r="I39" s="25">
        <f>SUM(I38:I38)</f>
        <v>9247480</v>
      </c>
      <c r="J39" s="25">
        <f>SUM(J38:J38)</f>
        <v>38258248</v>
      </c>
      <c r="K39" s="25">
        <f>SUM(K38:K38)</f>
        <v>100685</v>
      </c>
      <c r="L39" s="25">
        <f>SUM(L38:L38)</f>
        <v>0</v>
      </c>
      <c r="M39" s="25">
        <f>SUM(M38:M38)</f>
        <v>8408770</v>
      </c>
    </row>
    <row r="40" spans="1:13" x14ac:dyDescent="0.2">
      <c r="D40" s="19"/>
      <c r="E40" s="19"/>
      <c r="I40" s="20"/>
      <c r="J40" s="20"/>
      <c r="K40" s="20"/>
      <c r="M40" s="28"/>
    </row>
    <row r="41" spans="1:13" x14ac:dyDescent="0.2">
      <c r="A41" s="30" t="s">
        <v>12</v>
      </c>
      <c r="B41" s="30"/>
      <c r="C41" s="8">
        <f>C36+C39</f>
        <v>719702627</v>
      </c>
      <c r="D41" s="31"/>
      <c r="E41" s="31"/>
      <c r="F41" s="8">
        <f t="shared" ref="F41:M41" si="5">F36+F39</f>
        <v>10462784491</v>
      </c>
      <c r="G41" s="8">
        <f t="shared" si="5"/>
        <v>10794354089</v>
      </c>
      <c r="H41" s="8">
        <f t="shared" si="5"/>
        <v>331569598</v>
      </c>
      <c r="I41" s="8">
        <f t="shared" si="5"/>
        <v>172130129</v>
      </c>
      <c r="J41" s="32">
        <f t="shared" si="5"/>
        <v>9129151792</v>
      </c>
      <c r="K41" s="32">
        <f t="shared" si="5"/>
        <v>657029366</v>
      </c>
      <c r="L41" s="8">
        <f t="shared" si="5"/>
        <v>2120646</v>
      </c>
      <c r="M41" s="8">
        <f t="shared" si="5"/>
        <v>1006052285</v>
      </c>
    </row>
    <row r="42" spans="1:13" ht="9.75" customHeight="1" x14ac:dyDescent="0.2">
      <c r="A42" s="33"/>
      <c r="B42" s="33"/>
      <c r="C42" s="79"/>
      <c r="D42" s="80"/>
      <c r="E42" s="80"/>
      <c r="F42" s="80"/>
      <c r="G42" s="80"/>
      <c r="H42" s="80"/>
      <c r="I42" s="80"/>
      <c r="J42" s="80"/>
      <c r="K42" s="80"/>
      <c r="L42" s="80"/>
      <c r="M42" s="80"/>
    </row>
    <row r="43" spans="1:13" ht="26.25" customHeight="1" x14ac:dyDescent="0.2">
      <c r="A43" s="34" t="s">
        <v>53</v>
      </c>
      <c r="B43" s="81" t="s">
        <v>54</v>
      </c>
      <c r="C43" s="81"/>
      <c r="D43" s="81"/>
      <c r="E43" s="81"/>
      <c r="F43" s="81"/>
      <c r="G43" s="81"/>
      <c r="H43" s="81"/>
      <c r="I43" s="81"/>
      <c r="J43" s="81"/>
      <c r="K43" s="81"/>
      <c r="L43" s="81"/>
      <c r="M43" s="78"/>
    </row>
    <row r="46" spans="1:13" x14ac:dyDescent="0.2">
      <c r="A46" s="1" t="s">
        <v>0</v>
      </c>
      <c r="B46" s="35"/>
      <c r="C46" s="35"/>
      <c r="D46" s="35"/>
      <c r="E46" s="35"/>
      <c r="F46" s="35"/>
      <c r="G46" s="35"/>
      <c r="H46" s="35"/>
      <c r="I46" s="35"/>
      <c r="J46" s="35"/>
      <c r="K46" s="35"/>
    </row>
    <row r="47" spans="1:13" x14ac:dyDescent="0.2">
      <c r="A47" s="36"/>
      <c r="B47" s="35"/>
      <c r="C47" s="35"/>
      <c r="D47" s="35"/>
      <c r="E47" s="35"/>
      <c r="F47" s="35"/>
      <c r="G47" s="35"/>
      <c r="H47" s="35"/>
      <c r="I47" s="35"/>
      <c r="J47" s="35"/>
      <c r="K47" s="35"/>
    </row>
    <row r="48" spans="1:13" x14ac:dyDescent="0.2">
      <c r="A48" s="37" t="s">
        <v>55</v>
      </c>
      <c r="B48" s="35"/>
      <c r="C48" s="35"/>
      <c r="D48" s="35"/>
      <c r="E48" s="35"/>
      <c r="F48" s="35"/>
      <c r="G48" s="35"/>
      <c r="H48" s="35"/>
      <c r="I48" s="35"/>
      <c r="J48" s="35"/>
      <c r="K48" s="35"/>
    </row>
    <row r="49" spans="1:11" x14ac:dyDescent="0.2">
      <c r="A49" s="38" t="s">
        <v>2</v>
      </c>
      <c r="B49" s="35"/>
      <c r="C49" s="35"/>
      <c r="D49" s="35"/>
      <c r="E49" s="35"/>
      <c r="F49" s="35"/>
      <c r="G49" s="35"/>
      <c r="H49" s="35"/>
      <c r="I49" s="35"/>
      <c r="J49" s="35"/>
      <c r="K49" s="35"/>
    </row>
    <row r="50" spans="1:11" x14ac:dyDescent="0.2">
      <c r="A50" s="35"/>
      <c r="B50" s="35"/>
      <c r="C50" s="35"/>
      <c r="D50" s="35"/>
      <c r="E50" s="35"/>
      <c r="F50" s="35"/>
      <c r="G50" s="35"/>
      <c r="H50" s="35"/>
      <c r="I50" s="35"/>
      <c r="J50" s="35"/>
      <c r="K50" s="35"/>
    </row>
    <row r="51" spans="1:11" x14ac:dyDescent="0.2">
      <c r="A51" s="35" t="s">
        <v>56</v>
      </c>
      <c r="B51" s="35"/>
      <c r="C51" s="35"/>
      <c r="D51" s="35"/>
      <c r="E51" s="35"/>
      <c r="F51" s="35"/>
      <c r="G51" s="35"/>
      <c r="H51" s="35"/>
      <c r="I51" s="35"/>
      <c r="J51" s="35"/>
      <c r="K51" s="35"/>
    </row>
    <row r="52" spans="1:11" x14ac:dyDescent="0.2">
      <c r="A52" s="9" t="s">
        <v>3</v>
      </c>
      <c r="B52" s="39"/>
      <c r="C52" s="39"/>
      <c r="D52" s="24" t="s">
        <v>57</v>
      </c>
      <c r="E52" s="40"/>
      <c r="F52" s="41" t="s">
        <v>58</v>
      </c>
      <c r="G52" s="41" t="s">
        <v>10</v>
      </c>
      <c r="H52" s="42" t="s">
        <v>59</v>
      </c>
      <c r="I52" s="41" t="s">
        <v>58</v>
      </c>
      <c r="J52" s="41" t="s">
        <v>10</v>
      </c>
      <c r="K52" s="42" t="s">
        <v>59</v>
      </c>
    </row>
    <row r="53" spans="1:11" x14ac:dyDescent="0.2">
      <c r="A53" s="43"/>
      <c r="B53" s="43"/>
      <c r="C53" s="43"/>
      <c r="D53" s="13" t="s">
        <v>12</v>
      </c>
      <c r="E53" s="13" t="s">
        <v>13</v>
      </c>
      <c r="F53" s="44" t="s">
        <v>60</v>
      </c>
      <c r="G53" s="44" t="s">
        <v>61</v>
      </c>
      <c r="H53" s="44" t="s">
        <v>62</v>
      </c>
      <c r="I53" s="44" t="s">
        <v>63</v>
      </c>
      <c r="J53" s="44" t="s">
        <v>61</v>
      </c>
      <c r="K53" s="44" t="s">
        <v>62</v>
      </c>
    </row>
    <row r="54" spans="1:11" x14ac:dyDescent="0.2">
      <c r="A54" s="45"/>
      <c r="B54" s="45"/>
      <c r="C54" s="45"/>
      <c r="D54" s="45"/>
      <c r="E54" s="45"/>
      <c r="F54" s="46" t="s">
        <v>64</v>
      </c>
      <c r="G54" s="46" t="s">
        <v>65</v>
      </c>
      <c r="H54" s="46" t="s">
        <v>65</v>
      </c>
      <c r="I54" s="46" t="s">
        <v>4</v>
      </c>
      <c r="J54" s="47" t="s">
        <v>66</v>
      </c>
      <c r="K54" s="47" t="s">
        <v>66</v>
      </c>
    </row>
    <row r="55" spans="1:11" x14ac:dyDescent="0.2">
      <c r="A55" s="43"/>
      <c r="B55" s="43"/>
      <c r="C55" s="43"/>
      <c r="D55" s="48"/>
      <c r="E55" s="48"/>
      <c r="F55" s="49"/>
      <c r="G55" s="49"/>
      <c r="H55" s="49"/>
      <c r="I55" s="49"/>
      <c r="J55" s="18"/>
      <c r="K55" s="18"/>
    </row>
    <row r="56" spans="1:11" x14ac:dyDescent="0.2">
      <c r="A56" s="50" t="s">
        <v>67</v>
      </c>
      <c r="B56" s="51"/>
      <c r="C56" s="51"/>
      <c r="D56" s="52">
        <v>1.01</v>
      </c>
      <c r="E56" s="53">
        <v>3.0000000000000001E-3</v>
      </c>
      <c r="F56" s="54">
        <v>54246491</v>
      </c>
      <c r="G56" s="54">
        <f>52910862+1335629</f>
        <v>54246491</v>
      </c>
      <c r="H56" s="54">
        <f>G56-F56</f>
        <v>0</v>
      </c>
      <c r="I56" s="54">
        <v>54040368</v>
      </c>
      <c r="J56" s="54">
        <v>54164068</v>
      </c>
      <c r="K56" s="54">
        <f>J56-I56</f>
        <v>123700</v>
      </c>
    </row>
    <row r="57" spans="1:11" x14ac:dyDescent="0.2">
      <c r="A57" s="55" t="s">
        <v>68</v>
      </c>
      <c r="B57" s="51"/>
      <c r="C57" s="51"/>
      <c r="D57" s="52">
        <v>0.49</v>
      </c>
      <c r="E57" s="52">
        <v>0.02</v>
      </c>
      <c r="F57" s="54">
        <v>15734319</v>
      </c>
      <c r="G57" s="54">
        <f>446424+11030137+4257758</f>
        <v>15734319</v>
      </c>
      <c r="H57" s="54">
        <f>G57-F57</f>
        <v>0</v>
      </c>
      <c r="I57" s="54">
        <v>33679803</v>
      </c>
      <c r="J57" s="54">
        <v>34373442</v>
      </c>
      <c r="K57" s="54">
        <f>J57-I57</f>
        <v>693639</v>
      </c>
    </row>
    <row r="58" spans="1:11" x14ac:dyDescent="0.2">
      <c r="A58" s="43"/>
      <c r="B58" s="43"/>
      <c r="C58" s="43"/>
      <c r="D58" s="56"/>
      <c r="E58" s="48"/>
      <c r="F58" s="54"/>
      <c r="G58" s="54"/>
      <c r="H58" s="54"/>
      <c r="I58" s="54"/>
      <c r="J58" s="54"/>
      <c r="K58" s="54"/>
    </row>
    <row r="59" spans="1:11" x14ac:dyDescent="0.2">
      <c r="A59" s="35"/>
      <c r="B59" s="35"/>
      <c r="C59" s="35"/>
      <c r="D59" s="57"/>
      <c r="E59" s="57"/>
      <c r="F59" s="58"/>
      <c r="G59" s="58"/>
      <c r="H59" s="58"/>
      <c r="I59" s="58"/>
      <c r="J59" s="58"/>
      <c r="K59" s="58"/>
    </row>
    <row r="60" spans="1:11" x14ac:dyDescent="0.2">
      <c r="A60" s="36" t="s">
        <v>69</v>
      </c>
      <c r="B60" s="35"/>
      <c r="C60" s="35"/>
      <c r="D60" s="57"/>
      <c r="E60" s="57"/>
      <c r="F60" s="58"/>
      <c r="G60" s="58"/>
      <c r="H60" s="58"/>
      <c r="I60" s="58"/>
      <c r="J60" s="58"/>
      <c r="K60" s="58"/>
    </row>
    <row r="61" spans="1:11" x14ac:dyDescent="0.2">
      <c r="A61" s="9" t="s">
        <v>3</v>
      </c>
      <c r="B61" s="39"/>
      <c r="C61" s="39"/>
      <c r="D61" s="24" t="s">
        <v>57</v>
      </c>
      <c r="E61" s="59"/>
      <c r="F61" s="11" t="s">
        <v>6</v>
      </c>
      <c r="G61" s="11" t="s">
        <v>6</v>
      </c>
      <c r="H61" s="10" t="s">
        <v>10</v>
      </c>
      <c r="I61" s="10" t="s">
        <v>70</v>
      </c>
      <c r="J61" s="54"/>
      <c r="K61" s="54"/>
    </row>
    <row r="62" spans="1:11" x14ac:dyDescent="0.2">
      <c r="A62" s="43"/>
      <c r="B62" s="43"/>
      <c r="C62" s="43"/>
      <c r="D62" s="13" t="s">
        <v>12</v>
      </c>
      <c r="E62" s="13" t="s">
        <v>13</v>
      </c>
      <c r="F62" s="12" t="s">
        <v>71</v>
      </c>
      <c r="G62" s="12" t="s">
        <v>71</v>
      </c>
      <c r="H62" s="13" t="s">
        <v>72</v>
      </c>
      <c r="I62" s="13" t="s">
        <v>62</v>
      </c>
      <c r="J62" s="54"/>
      <c r="K62" s="54"/>
    </row>
    <row r="63" spans="1:11" x14ac:dyDescent="0.2">
      <c r="A63" s="43"/>
      <c r="B63" s="43"/>
      <c r="C63" s="43"/>
      <c r="D63" s="48"/>
      <c r="E63" s="48"/>
      <c r="F63" s="12" t="s">
        <v>73</v>
      </c>
      <c r="G63" s="13" t="s">
        <v>74</v>
      </c>
      <c r="H63" s="12" t="s">
        <v>75</v>
      </c>
      <c r="I63" s="13" t="s">
        <v>76</v>
      </c>
      <c r="J63" s="54"/>
      <c r="K63" s="54"/>
    </row>
    <row r="64" spans="1:11" x14ac:dyDescent="0.2">
      <c r="A64" s="45"/>
      <c r="B64" s="45"/>
      <c r="C64" s="45"/>
      <c r="D64" s="60"/>
      <c r="E64" s="60"/>
      <c r="F64" s="17" t="s">
        <v>77</v>
      </c>
      <c r="G64" s="17" t="s">
        <v>78</v>
      </c>
      <c r="H64" s="17" t="s">
        <v>79</v>
      </c>
      <c r="I64" s="17" t="s">
        <v>79</v>
      </c>
      <c r="J64" s="54"/>
      <c r="K64" s="54"/>
    </row>
    <row r="65" spans="1:11" x14ac:dyDescent="0.2">
      <c r="A65" s="43"/>
      <c r="B65" s="43"/>
      <c r="C65" s="35"/>
      <c r="D65" s="57"/>
      <c r="E65" s="57"/>
      <c r="F65" s="58"/>
      <c r="G65" s="58"/>
      <c r="H65" s="58"/>
      <c r="I65" s="58"/>
      <c r="J65" s="58"/>
      <c r="K65" s="58"/>
    </row>
    <row r="66" spans="1:11" x14ac:dyDescent="0.2">
      <c r="A66" s="51" t="s">
        <v>80</v>
      </c>
      <c r="B66" s="43"/>
      <c r="C66" s="43"/>
      <c r="D66" s="52">
        <v>1.96</v>
      </c>
      <c r="E66" s="53">
        <v>1.6E-2</v>
      </c>
      <c r="F66" s="54">
        <v>48706312</v>
      </c>
      <c r="G66" s="54">
        <v>29051519</v>
      </c>
      <c r="H66" s="54">
        <v>78025044</v>
      </c>
      <c r="I66" s="54">
        <f>+H66-G66-F66</f>
        <v>267213</v>
      </c>
      <c r="J66" s="54"/>
      <c r="K66" s="54"/>
    </row>
    <row r="67" spans="1:11" x14ac:dyDescent="0.2">
      <c r="A67" s="35"/>
      <c r="B67" s="35"/>
      <c r="C67" s="35"/>
      <c r="D67" s="57"/>
      <c r="E67" s="57"/>
      <c r="F67" s="58"/>
      <c r="G67" s="58"/>
      <c r="H67" s="58"/>
      <c r="I67" s="58"/>
      <c r="J67" s="58"/>
      <c r="K67" s="58"/>
    </row>
  </sheetData>
  <mergeCells count="6">
    <mergeCell ref="B43:M43"/>
    <mergeCell ref="D5:E5"/>
    <mergeCell ref="A9:B9"/>
    <mergeCell ref="A10:B10"/>
    <mergeCell ref="A15:B15"/>
    <mergeCell ref="C42:M4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8"/>
  <sheetViews>
    <sheetView workbookViewId="0"/>
  </sheetViews>
  <sheetFormatPr baseColWidth="10" defaultRowHeight="12.75" x14ac:dyDescent="0.2"/>
  <cols>
    <col min="1" max="1" width="2.5703125" style="4" customWidth="1"/>
    <col min="2" max="2" width="22.42578125" style="4" customWidth="1"/>
    <col min="3" max="3" width="12.140625" style="4" bestFit="1" customWidth="1"/>
    <col min="4" max="4" width="8.140625" style="4" customWidth="1"/>
    <col min="5" max="5" width="8.5703125" style="4" customWidth="1"/>
    <col min="6" max="6" width="17" style="4" bestFit="1" customWidth="1"/>
    <col min="7" max="7" width="16.7109375" style="4" bestFit="1" customWidth="1"/>
    <col min="8" max="8" width="18" style="4" bestFit="1" customWidth="1"/>
    <col min="9" max="9" width="17.7109375" style="4" bestFit="1" customWidth="1"/>
    <col min="10" max="10" width="13.5703125" style="4" customWidth="1"/>
    <col min="11" max="11" width="18.5703125" style="4" bestFit="1" customWidth="1"/>
    <col min="12" max="12" width="15.5703125" style="4" customWidth="1"/>
    <col min="13" max="13" width="13.5703125" style="4" customWidth="1"/>
    <col min="14" max="256" width="11.42578125" style="4"/>
    <col min="257" max="257" width="2.5703125" style="4" customWidth="1"/>
    <col min="258" max="258" width="22.42578125" style="4" customWidth="1"/>
    <col min="259" max="259" width="12.140625" style="4" bestFit="1" customWidth="1"/>
    <col min="260" max="260" width="8.140625" style="4" customWidth="1"/>
    <col min="261" max="261" width="8.5703125" style="4" customWidth="1"/>
    <col min="262" max="262" width="17" style="4" bestFit="1" customWidth="1"/>
    <col min="263" max="263" width="16.7109375" style="4" bestFit="1" customWidth="1"/>
    <col min="264" max="264" width="18" style="4" bestFit="1" customWidth="1"/>
    <col min="265" max="265" width="17.7109375" style="4" bestFit="1" customWidth="1"/>
    <col min="266" max="266" width="13.5703125" style="4" customWidth="1"/>
    <col min="267" max="267" width="18.5703125" style="4" bestFit="1" customWidth="1"/>
    <col min="268" max="268" width="15.5703125" style="4" customWidth="1"/>
    <col min="269" max="269" width="13.5703125" style="4" customWidth="1"/>
    <col min="270" max="512" width="11.42578125" style="4"/>
    <col min="513" max="513" width="2.5703125" style="4" customWidth="1"/>
    <col min="514" max="514" width="22.42578125" style="4" customWidth="1"/>
    <col min="515" max="515" width="12.140625" style="4" bestFit="1" customWidth="1"/>
    <col min="516" max="516" width="8.140625" style="4" customWidth="1"/>
    <col min="517" max="517" width="8.5703125" style="4" customWidth="1"/>
    <col min="518" max="518" width="17" style="4" bestFit="1" customWidth="1"/>
    <col min="519" max="519" width="16.7109375" style="4" bestFit="1" customWidth="1"/>
    <col min="520" max="520" width="18" style="4" bestFit="1" customWidth="1"/>
    <col min="521" max="521" width="17.7109375" style="4" bestFit="1" customWidth="1"/>
    <col min="522" max="522" width="13.5703125" style="4" customWidth="1"/>
    <col min="523" max="523" width="18.5703125" style="4" bestFit="1" customWidth="1"/>
    <col min="524" max="524" width="15.5703125" style="4" customWidth="1"/>
    <col min="525" max="525" width="13.5703125" style="4" customWidth="1"/>
    <col min="526" max="768" width="11.42578125" style="4"/>
    <col min="769" max="769" width="2.5703125" style="4" customWidth="1"/>
    <col min="770" max="770" width="22.42578125" style="4" customWidth="1"/>
    <col min="771" max="771" width="12.140625" style="4" bestFit="1" customWidth="1"/>
    <col min="772" max="772" width="8.140625" style="4" customWidth="1"/>
    <col min="773" max="773" width="8.5703125" style="4" customWidth="1"/>
    <col min="774" max="774" width="17" style="4" bestFit="1" customWidth="1"/>
    <col min="775" max="775" width="16.7109375" style="4" bestFit="1" customWidth="1"/>
    <col min="776" max="776" width="18" style="4" bestFit="1" customWidth="1"/>
    <col min="777" max="777" width="17.7109375" style="4" bestFit="1" customWidth="1"/>
    <col min="778" max="778" width="13.5703125" style="4" customWidth="1"/>
    <col min="779" max="779" width="18.5703125" style="4" bestFit="1" customWidth="1"/>
    <col min="780" max="780" width="15.5703125" style="4" customWidth="1"/>
    <col min="781" max="781" width="13.5703125" style="4" customWidth="1"/>
    <col min="782" max="1024" width="11.42578125" style="4"/>
    <col min="1025" max="1025" width="2.5703125" style="4" customWidth="1"/>
    <col min="1026" max="1026" width="22.42578125" style="4" customWidth="1"/>
    <col min="1027" max="1027" width="12.140625" style="4" bestFit="1" customWidth="1"/>
    <col min="1028" max="1028" width="8.140625" style="4" customWidth="1"/>
    <col min="1029" max="1029" width="8.5703125" style="4" customWidth="1"/>
    <col min="1030" max="1030" width="17" style="4" bestFit="1" customWidth="1"/>
    <col min="1031" max="1031" width="16.7109375" style="4" bestFit="1" customWidth="1"/>
    <col min="1032" max="1032" width="18" style="4" bestFit="1" customWidth="1"/>
    <col min="1033" max="1033" width="17.7109375" style="4" bestFit="1" customWidth="1"/>
    <col min="1034" max="1034" width="13.5703125" style="4" customWidth="1"/>
    <col min="1035" max="1035" width="18.5703125" style="4" bestFit="1" customWidth="1"/>
    <col min="1036" max="1036" width="15.5703125" style="4" customWidth="1"/>
    <col min="1037" max="1037" width="13.5703125" style="4" customWidth="1"/>
    <col min="1038" max="1280" width="11.42578125" style="4"/>
    <col min="1281" max="1281" width="2.5703125" style="4" customWidth="1"/>
    <col min="1282" max="1282" width="22.42578125" style="4" customWidth="1"/>
    <col min="1283" max="1283" width="12.140625" style="4" bestFit="1" customWidth="1"/>
    <col min="1284" max="1284" width="8.140625" style="4" customWidth="1"/>
    <col min="1285" max="1285" width="8.5703125" style="4" customWidth="1"/>
    <col min="1286" max="1286" width="17" style="4" bestFit="1" customWidth="1"/>
    <col min="1287" max="1287" width="16.7109375" style="4" bestFit="1" customWidth="1"/>
    <col min="1288" max="1288" width="18" style="4" bestFit="1" customWidth="1"/>
    <col min="1289" max="1289" width="17.7109375" style="4" bestFit="1" customWidth="1"/>
    <col min="1290" max="1290" width="13.5703125" style="4" customWidth="1"/>
    <col min="1291" max="1291" width="18.5703125" style="4" bestFit="1" customWidth="1"/>
    <col min="1292" max="1292" width="15.5703125" style="4" customWidth="1"/>
    <col min="1293" max="1293" width="13.5703125" style="4" customWidth="1"/>
    <col min="1294" max="1536" width="11.42578125" style="4"/>
    <col min="1537" max="1537" width="2.5703125" style="4" customWidth="1"/>
    <col min="1538" max="1538" width="22.42578125" style="4" customWidth="1"/>
    <col min="1539" max="1539" width="12.140625" style="4" bestFit="1" customWidth="1"/>
    <col min="1540" max="1540" width="8.140625" style="4" customWidth="1"/>
    <col min="1541" max="1541" width="8.5703125" style="4" customWidth="1"/>
    <col min="1542" max="1542" width="17" style="4" bestFit="1" customWidth="1"/>
    <col min="1543" max="1543" width="16.7109375" style="4" bestFit="1" customWidth="1"/>
    <col min="1544" max="1544" width="18" style="4" bestFit="1" customWidth="1"/>
    <col min="1545" max="1545" width="17.7109375" style="4" bestFit="1" customWidth="1"/>
    <col min="1546" max="1546" width="13.5703125" style="4" customWidth="1"/>
    <col min="1547" max="1547" width="18.5703125" style="4" bestFit="1" customWidth="1"/>
    <col min="1548" max="1548" width="15.5703125" style="4" customWidth="1"/>
    <col min="1549" max="1549" width="13.5703125" style="4" customWidth="1"/>
    <col min="1550" max="1792" width="11.42578125" style="4"/>
    <col min="1793" max="1793" width="2.5703125" style="4" customWidth="1"/>
    <col min="1794" max="1794" width="22.42578125" style="4" customWidth="1"/>
    <col min="1795" max="1795" width="12.140625" style="4" bestFit="1" customWidth="1"/>
    <col min="1796" max="1796" width="8.140625" style="4" customWidth="1"/>
    <col min="1797" max="1797" width="8.5703125" style="4" customWidth="1"/>
    <col min="1798" max="1798" width="17" style="4" bestFit="1" customWidth="1"/>
    <col min="1799" max="1799" width="16.7109375" style="4" bestFit="1" customWidth="1"/>
    <col min="1800" max="1800" width="18" style="4" bestFit="1" customWidth="1"/>
    <col min="1801" max="1801" width="17.7109375" style="4" bestFit="1" customWidth="1"/>
    <col min="1802" max="1802" width="13.5703125" style="4" customWidth="1"/>
    <col min="1803" max="1803" width="18.5703125" style="4" bestFit="1" customWidth="1"/>
    <col min="1804" max="1804" width="15.5703125" style="4" customWidth="1"/>
    <col min="1805" max="1805" width="13.5703125" style="4" customWidth="1"/>
    <col min="1806" max="2048" width="11.42578125" style="4"/>
    <col min="2049" max="2049" width="2.5703125" style="4" customWidth="1"/>
    <col min="2050" max="2050" width="22.42578125" style="4" customWidth="1"/>
    <col min="2051" max="2051" width="12.140625" style="4" bestFit="1" customWidth="1"/>
    <col min="2052" max="2052" width="8.140625" style="4" customWidth="1"/>
    <col min="2053" max="2053" width="8.5703125" style="4" customWidth="1"/>
    <col min="2054" max="2054" width="17" style="4" bestFit="1" customWidth="1"/>
    <col min="2055" max="2055" width="16.7109375" style="4" bestFit="1" customWidth="1"/>
    <col min="2056" max="2056" width="18" style="4" bestFit="1" customWidth="1"/>
    <col min="2057" max="2057" width="17.7109375" style="4" bestFit="1" customWidth="1"/>
    <col min="2058" max="2058" width="13.5703125" style="4" customWidth="1"/>
    <col min="2059" max="2059" width="18.5703125" style="4" bestFit="1" customWidth="1"/>
    <col min="2060" max="2060" width="15.5703125" style="4" customWidth="1"/>
    <col min="2061" max="2061" width="13.5703125" style="4" customWidth="1"/>
    <col min="2062" max="2304" width="11.42578125" style="4"/>
    <col min="2305" max="2305" width="2.5703125" style="4" customWidth="1"/>
    <col min="2306" max="2306" width="22.42578125" style="4" customWidth="1"/>
    <col min="2307" max="2307" width="12.140625" style="4" bestFit="1" customWidth="1"/>
    <col min="2308" max="2308" width="8.140625" style="4" customWidth="1"/>
    <col min="2309" max="2309" width="8.5703125" style="4" customWidth="1"/>
    <col min="2310" max="2310" width="17" style="4" bestFit="1" customWidth="1"/>
    <col min="2311" max="2311" width="16.7109375" style="4" bestFit="1" customWidth="1"/>
    <col min="2312" max="2312" width="18" style="4" bestFit="1" customWidth="1"/>
    <col min="2313" max="2313" width="17.7109375" style="4" bestFit="1" customWidth="1"/>
    <col min="2314" max="2314" width="13.5703125" style="4" customWidth="1"/>
    <col min="2315" max="2315" width="18.5703125" style="4" bestFit="1" customWidth="1"/>
    <col min="2316" max="2316" width="15.5703125" style="4" customWidth="1"/>
    <col min="2317" max="2317" width="13.5703125" style="4" customWidth="1"/>
    <col min="2318" max="2560" width="11.42578125" style="4"/>
    <col min="2561" max="2561" width="2.5703125" style="4" customWidth="1"/>
    <col min="2562" max="2562" width="22.42578125" style="4" customWidth="1"/>
    <col min="2563" max="2563" width="12.140625" style="4" bestFit="1" customWidth="1"/>
    <col min="2564" max="2564" width="8.140625" style="4" customWidth="1"/>
    <col min="2565" max="2565" width="8.5703125" style="4" customWidth="1"/>
    <col min="2566" max="2566" width="17" style="4" bestFit="1" customWidth="1"/>
    <col min="2567" max="2567" width="16.7109375" style="4" bestFit="1" customWidth="1"/>
    <col min="2568" max="2568" width="18" style="4" bestFit="1" customWidth="1"/>
    <col min="2569" max="2569" width="17.7109375" style="4" bestFit="1" customWidth="1"/>
    <col min="2570" max="2570" width="13.5703125" style="4" customWidth="1"/>
    <col min="2571" max="2571" width="18.5703125" style="4" bestFit="1" customWidth="1"/>
    <col min="2572" max="2572" width="15.5703125" style="4" customWidth="1"/>
    <col min="2573" max="2573" width="13.5703125" style="4" customWidth="1"/>
    <col min="2574" max="2816" width="11.42578125" style="4"/>
    <col min="2817" max="2817" width="2.5703125" style="4" customWidth="1"/>
    <col min="2818" max="2818" width="22.42578125" style="4" customWidth="1"/>
    <col min="2819" max="2819" width="12.140625" style="4" bestFit="1" customWidth="1"/>
    <col min="2820" max="2820" width="8.140625" style="4" customWidth="1"/>
    <col min="2821" max="2821" width="8.5703125" style="4" customWidth="1"/>
    <col min="2822" max="2822" width="17" style="4" bestFit="1" customWidth="1"/>
    <col min="2823" max="2823" width="16.7109375" style="4" bestFit="1" customWidth="1"/>
    <col min="2824" max="2824" width="18" style="4" bestFit="1" customWidth="1"/>
    <col min="2825" max="2825" width="17.7109375" style="4" bestFit="1" customWidth="1"/>
    <col min="2826" max="2826" width="13.5703125" style="4" customWidth="1"/>
    <col min="2827" max="2827" width="18.5703125" style="4" bestFit="1" customWidth="1"/>
    <col min="2828" max="2828" width="15.5703125" style="4" customWidth="1"/>
    <col min="2829" max="2829" width="13.5703125" style="4" customWidth="1"/>
    <col min="2830" max="3072" width="11.42578125" style="4"/>
    <col min="3073" max="3073" width="2.5703125" style="4" customWidth="1"/>
    <col min="3074" max="3074" width="22.42578125" style="4" customWidth="1"/>
    <col min="3075" max="3075" width="12.140625" style="4" bestFit="1" customWidth="1"/>
    <col min="3076" max="3076" width="8.140625" style="4" customWidth="1"/>
    <col min="3077" max="3077" width="8.5703125" style="4" customWidth="1"/>
    <col min="3078" max="3078" width="17" style="4" bestFit="1" customWidth="1"/>
    <col min="3079" max="3079" width="16.7109375" style="4" bestFit="1" customWidth="1"/>
    <col min="3080" max="3080" width="18" style="4" bestFit="1" customWidth="1"/>
    <col min="3081" max="3081" width="17.7109375" style="4" bestFit="1" customWidth="1"/>
    <col min="3082" max="3082" width="13.5703125" style="4" customWidth="1"/>
    <col min="3083" max="3083" width="18.5703125" style="4" bestFit="1" customWidth="1"/>
    <col min="3084" max="3084" width="15.5703125" style="4" customWidth="1"/>
    <col min="3085" max="3085" width="13.5703125" style="4" customWidth="1"/>
    <col min="3086" max="3328" width="11.42578125" style="4"/>
    <col min="3329" max="3329" width="2.5703125" style="4" customWidth="1"/>
    <col min="3330" max="3330" width="22.42578125" style="4" customWidth="1"/>
    <col min="3331" max="3331" width="12.140625" style="4" bestFit="1" customWidth="1"/>
    <col min="3332" max="3332" width="8.140625" style="4" customWidth="1"/>
    <col min="3333" max="3333" width="8.5703125" style="4" customWidth="1"/>
    <col min="3334" max="3334" width="17" style="4" bestFit="1" customWidth="1"/>
    <col min="3335" max="3335" width="16.7109375" style="4" bestFit="1" customWidth="1"/>
    <col min="3336" max="3336" width="18" style="4" bestFit="1" customWidth="1"/>
    <col min="3337" max="3337" width="17.7109375" style="4" bestFit="1" customWidth="1"/>
    <col min="3338" max="3338" width="13.5703125" style="4" customWidth="1"/>
    <col min="3339" max="3339" width="18.5703125" style="4" bestFit="1" customWidth="1"/>
    <col min="3340" max="3340" width="15.5703125" style="4" customWidth="1"/>
    <col min="3341" max="3341" width="13.5703125" style="4" customWidth="1"/>
    <col min="3342" max="3584" width="11.42578125" style="4"/>
    <col min="3585" max="3585" width="2.5703125" style="4" customWidth="1"/>
    <col min="3586" max="3586" width="22.42578125" style="4" customWidth="1"/>
    <col min="3587" max="3587" width="12.140625" style="4" bestFit="1" customWidth="1"/>
    <col min="3588" max="3588" width="8.140625" style="4" customWidth="1"/>
    <col min="3589" max="3589" width="8.5703125" style="4" customWidth="1"/>
    <col min="3590" max="3590" width="17" style="4" bestFit="1" customWidth="1"/>
    <col min="3591" max="3591" width="16.7109375" style="4" bestFit="1" customWidth="1"/>
    <col min="3592" max="3592" width="18" style="4" bestFit="1" customWidth="1"/>
    <col min="3593" max="3593" width="17.7109375" style="4" bestFit="1" customWidth="1"/>
    <col min="3594" max="3594" width="13.5703125" style="4" customWidth="1"/>
    <col min="3595" max="3595" width="18.5703125" style="4" bestFit="1" customWidth="1"/>
    <col min="3596" max="3596" width="15.5703125" style="4" customWidth="1"/>
    <col min="3597" max="3597" width="13.5703125" style="4" customWidth="1"/>
    <col min="3598" max="3840" width="11.42578125" style="4"/>
    <col min="3841" max="3841" width="2.5703125" style="4" customWidth="1"/>
    <col min="3842" max="3842" width="22.42578125" style="4" customWidth="1"/>
    <col min="3843" max="3843" width="12.140625" style="4" bestFit="1" customWidth="1"/>
    <col min="3844" max="3844" width="8.140625" style="4" customWidth="1"/>
    <col min="3845" max="3845" width="8.5703125" style="4" customWidth="1"/>
    <col min="3846" max="3846" width="17" style="4" bestFit="1" customWidth="1"/>
    <col min="3847" max="3847" width="16.7109375" style="4" bestFit="1" customWidth="1"/>
    <col min="3848" max="3848" width="18" style="4" bestFit="1" customWidth="1"/>
    <col min="3849" max="3849" width="17.7109375" style="4" bestFit="1" customWidth="1"/>
    <col min="3850" max="3850" width="13.5703125" style="4" customWidth="1"/>
    <col min="3851" max="3851" width="18.5703125" style="4" bestFit="1" customWidth="1"/>
    <col min="3852" max="3852" width="15.5703125" style="4" customWidth="1"/>
    <col min="3853" max="3853" width="13.5703125" style="4" customWidth="1"/>
    <col min="3854" max="4096" width="11.42578125" style="4"/>
    <col min="4097" max="4097" width="2.5703125" style="4" customWidth="1"/>
    <col min="4098" max="4098" width="22.42578125" style="4" customWidth="1"/>
    <col min="4099" max="4099" width="12.140625" style="4" bestFit="1" customWidth="1"/>
    <col min="4100" max="4100" width="8.140625" style="4" customWidth="1"/>
    <col min="4101" max="4101" width="8.5703125" style="4" customWidth="1"/>
    <col min="4102" max="4102" width="17" style="4" bestFit="1" customWidth="1"/>
    <col min="4103" max="4103" width="16.7109375" style="4" bestFit="1" customWidth="1"/>
    <col min="4104" max="4104" width="18" style="4" bestFit="1" customWidth="1"/>
    <col min="4105" max="4105" width="17.7109375" style="4" bestFit="1" customWidth="1"/>
    <col min="4106" max="4106" width="13.5703125" style="4" customWidth="1"/>
    <col min="4107" max="4107" width="18.5703125" style="4" bestFit="1" customWidth="1"/>
    <col min="4108" max="4108" width="15.5703125" style="4" customWidth="1"/>
    <col min="4109" max="4109" width="13.5703125" style="4" customWidth="1"/>
    <col min="4110" max="4352" width="11.42578125" style="4"/>
    <col min="4353" max="4353" width="2.5703125" style="4" customWidth="1"/>
    <col min="4354" max="4354" width="22.42578125" style="4" customWidth="1"/>
    <col min="4355" max="4355" width="12.140625" style="4" bestFit="1" customWidth="1"/>
    <col min="4356" max="4356" width="8.140625" style="4" customWidth="1"/>
    <col min="4357" max="4357" width="8.5703125" style="4" customWidth="1"/>
    <col min="4358" max="4358" width="17" style="4" bestFit="1" customWidth="1"/>
    <col min="4359" max="4359" width="16.7109375" style="4" bestFit="1" customWidth="1"/>
    <col min="4360" max="4360" width="18" style="4" bestFit="1" customWidth="1"/>
    <col min="4361" max="4361" width="17.7109375" style="4" bestFit="1" customWidth="1"/>
    <col min="4362" max="4362" width="13.5703125" style="4" customWidth="1"/>
    <col min="4363" max="4363" width="18.5703125" style="4" bestFit="1" customWidth="1"/>
    <col min="4364" max="4364" width="15.5703125" style="4" customWidth="1"/>
    <col min="4365" max="4365" width="13.5703125" style="4" customWidth="1"/>
    <col min="4366" max="4608" width="11.42578125" style="4"/>
    <col min="4609" max="4609" width="2.5703125" style="4" customWidth="1"/>
    <col min="4610" max="4610" width="22.42578125" style="4" customWidth="1"/>
    <col min="4611" max="4611" width="12.140625" style="4" bestFit="1" customWidth="1"/>
    <col min="4612" max="4612" width="8.140625" style="4" customWidth="1"/>
    <col min="4613" max="4613" width="8.5703125" style="4" customWidth="1"/>
    <col min="4614" max="4614" width="17" style="4" bestFit="1" customWidth="1"/>
    <col min="4615" max="4615" width="16.7109375" style="4" bestFit="1" customWidth="1"/>
    <col min="4616" max="4616" width="18" style="4" bestFit="1" customWidth="1"/>
    <col min="4617" max="4617" width="17.7109375" style="4" bestFit="1" customWidth="1"/>
    <col min="4618" max="4618" width="13.5703125" style="4" customWidth="1"/>
    <col min="4619" max="4619" width="18.5703125" style="4" bestFit="1" customWidth="1"/>
    <col min="4620" max="4620" width="15.5703125" style="4" customWidth="1"/>
    <col min="4621" max="4621" width="13.5703125" style="4" customWidth="1"/>
    <col min="4622" max="4864" width="11.42578125" style="4"/>
    <col min="4865" max="4865" width="2.5703125" style="4" customWidth="1"/>
    <col min="4866" max="4866" width="22.42578125" style="4" customWidth="1"/>
    <col min="4867" max="4867" width="12.140625" style="4" bestFit="1" customWidth="1"/>
    <col min="4868" max="4868" width="8.140625" style="4" customWidth="1"/>
    <col min="4869" max="4869" width="8.5703125" style="4" customWidth="1"/>
    <col min="4870" max="4870" width="17" style="4" bestFit="1" customWidth="1"/>
    <col min="4871" max="4871" width="16.7109375" style="4" bestFit="1" customWidth="1"/>
    <col min="4872" max="4872" width="18" style="4" bestFit="1" customWidth="1"/>
    <col min="4873" max="4873" width="17.7109375" style="4" bestFit="1" customWidth="1"/>
    <col min="4874" max="4874" width="13.5703125" style="4" customWidth="1"/>
    <col min="4875" max="4875" width="18.5703125" style="4" bestFit="1" customWidth="1"/>
    <col min="4876" max="4876" width="15.5703125" style="4" customWidth="1"/>
    <col min="4877" max="4877" width="13.5703125" style="4" customWidth="1"/>
    <col min="4878" max="5120" width="11.42578125" style="4"/>
    <col min="5121" max="5121" width="2.5703125" style="4" customWidth="1"/>
    <col min="5122" max="5122" width="22.42578125" style="4" customWidth="1"/>
    <col min="5123" max="5123" width="12.140625" style="4" bestFit="1" customWidth="1"/>
    <col min="5124" max="5124" width="8.140625" style="4" customWidth="1"/>
    <col min="5125" max="5125" width="8.5703125" style="4" customWidth="1"/>
    <col min="5126" max="5126" width="17" style="4" bestFit="1" customWidth="1"/>
    <col min="5127" max="5127" width="16.7109375" style="4" bestFit="1" customWidth="1"/>
    <col min="5128" max="5128" width="18" style="4" bestFit="1" customWidth="1"/>
    <col min="5129" max="5129" width="17.7109375" style="4" bestFit="1" customWidth="1"/>
    <col min="5130" max="5130" width="13.5703125" style="4" customWidth="1"/>
    <col min="5131" max="5131" width="18.5703125" style="4" bestFit="1" customWidth="1"/>
    <col min="5132" max="5132" width="15.5703125" style="4" customWidth="1"/>
    <col min="5133" max="5133" width="13.5703125" style="4" customWidth="1"/>
    <col min="5134" max="5376" width="11.42578125" style="4"/>
    <col min="5377" max="5377" width="2.5703125" style="4" customWidth="1"/>
    <col min="5378" max="5378" width="22.42578125" style="4" customWidth="1"/>
    <col min="5379" max="5379" width="12.140625" style="4" bestFit="1" customWidth="1"/>
    <col min="5380" max="5380" width="8.140625" style="4" customWidth="1"/>
    <col min="5381" max="5381" width="8.5703125" style="4" customWidth="1"/>
    <col min="5382" max="5382" width="17" style="4" bestFit="1" customWidth="1"/>
    <col min="5383" max="5383" width="16.7109375" style="4" bestFit="1" customWidth="1"/>
    <col min="5384" max="5384" width="18" style="4" bestFit="1" customWidth="1"/>
    <col min="5385" max="5385" width="17.7109375" style="4" bestFit="1" customWidth="1"/>
    <col min="5386" max="5386" width="13.5703125" style="4" customWidth="1"/>
    <col min="5387" max="5387" width="18.5703125" style="4" bestFit="1" customWidth="1"/>
    <col min="5388" max="5388" width="15.5703125" style="4" customWidth="1"/>
    <col min="5389" max="5389" width="13.5703125" style="4" customWidth="1"/>
    <col min="5390" max="5632" width="11.42578125" style="4"/>
    <col min="5633" max="5633" width="2.5703125" style="4" customWidth="1"/>
    <col min="5634" max="5634" width="22.42578125" style="4" customWidth="1"/>
    <col min="5635" max="5635" width="12.140625" style="4" bestFit="1" customWidth="1"/>
    <col min="5636" max="5636" width="8.140625" style="4" customWidth="1"/>
    <col min="5637" max="5637" width="8.5703125" style="4" customWidth="1"/>
    <col min="5638" max="5638" width="17" style="4" bestFit="1" customWidth="1"/>
    <col min="5639" max="5639" width="16.7109375" style="4" bestFit="1" customWidth="1"/>
    <col min="5640" max="5640" width="18" style="4" bestFit="1" customWidth="1"/>
    <col min="5641" max="5641" width="17.7109375" style="4" bestFit="1" customWidth="1"/>
    <col min="5642" max="5642" width="13.5703125" style="4" customWidth="1"/>
    <col min="5643" max="5643" width="18.5703125" style="4" bestFit="1" customWidth="1"/>
    <col min="5644" max="5644" width="15.5703125" style="4" customWidth="1"/>
    <col min="5645" max="5645" width="13.5703125" style="4" customWidth="1"/>
    <col min="5646" max="5888" width="11.42578125" style="4"/>
    <col min="5889" max="5889" width="2.5703125" style="4" customWidth="1"/>
    <col min="5890" max="5890" width="22.42578125" style="4" customWidth="1"/>
    <col min="5891" max="5891" width="12.140625" style="4" bestFit="1" customWidth="1"/>
    <col min="5892" max="5892" width="8.140625" style="4" customWidth="1"/>
    <col min="5893" max="5893" width="8.5703125" style="4" customWidth="1"/>
    <col min="5894" max="5894" width="17" style="4" bestFit="1" customWidth="1"/>
    <col min="5895" max="5895" width="16.7109375" style="4" bestFit="1" customWidth="1"/>
    <col min="5896" max="5896" width="18" style="4" bestFit="1" customWidth="1"/>
    <col min="5897" max="5897" width="17.7109375" style="4" bestFit="1" customWidth="1"/>
    <col min="5898" max="5898" width="13.5703125" style="4" customWidth="1"/>
    <col min="5899" max="5899" width="18.5703125" style="4" bestFit="1" customWidth="1"/>
    <col min="5900" max="5900" width="15.5703125" style="4" customWidth="1"/>
    <col min="5901" max="5901" width="13.5703125" style="4" customWidth="1"/>
    <col min="5902" max="6144" width="11.42578125" style="4"/>
    <col min="6145" max="6145" width="2.5703125" style="4" customWidth="1"/>
    <col min="6146" max="6146" width="22.42578125" style="4" customWidth="1"/>
    <col min="6147" max="6147" width="12.140625" style="4" bestFit="1" customWidth="1"/>
    <col min="6148" max="6148" width="8.140625" style="4" customWidth="1"/>
    <col min="6149" max="6149" width="8.5703125" style="4" customWidth="1"/>
    <col min="6150" max="6150" width="17" style="4" bestFit="1" customWidth="1"/>
    <col min="6151" max="6151" width="16.7109375" style="4" bestFit="1" customWidth="1"/>
    <col min="6152" max="6152" width="18" style="4" bestFit="1" customWidth="1"/>
    <col min="6153" max="6153" width="17.7109375" style="4" bestFit="1" customWidth="1"/>
    <col min="6154" max="6154" width="13.5703125" style="4" customWidth="1"/>
    <col min="6155" max="6155" width="18.5703125" style="4" bestFit="1" customWidth="1"/>
    <col min="6156" max="6156" width="15.5703125" style="4" customWidth="1"/>
    <col min="6157" max="6157" width="13.5703125" style="4" customWidth="1"/>
    <col min="6158" max="6400" width="11.42578125" style="4"/>
    <col min="6401" max="6401" width="2.5703125" style="4" customWidth="1"/>
    <col min="6402" max="6402" width="22.42578125" style="4" customWidth="1"/>
    <col min="6403" max="6403" width="12.140625" style="4" bestFit="1" customWidth="1"/>
    <col min="6404" max="6404" width="8.140625" style="4" customWidth="1"/>
    <col min="6405" max="6405" width="8.5703125" style="4" customWidth="1"/>
    <col min="6406" max="6406" width="17" style="4" bestFit="1" customWidth="1"/>
    <col min="6407" max="6407" width="16.7109375" style="4" bestFit="1" customWidth="1"/>
    <col min="6408" max="6408" width="18" style="4" bestFit="1" customWidth="1"/>
    <col min="6409" max="6409" width="17.7109375" style="4" bestFit="1" customWidth="1"/>
    <col min="6410" max="6410" width="13.5703125" style="4" customWidth="1"/>
    <col min="6411" max="6411" width="18.5703125" style="4" bestFit="1" customWidth="1"/>
    <col min="6412" max="6412" width="15.5703125" style="4" customWidth="1"/>
    <col min="6413" max="6413" width="13.5703125" style="4" customWidth="1"/>
    <col min="6414" max="6656" width="11.42578125" style="4"/>
    <col min="6657" max="6657" width="2.5703125" style="4" customWidth="1"/>
    <col min="6658" max="6658" width="22.42578125" style="4" customWidth="1"/>
    <col min="6659" max="6659" width="12.140625" style="4" bestFit="1" customWidth="1"/>
    <col min="6660" max="6660" width="8.140625" style="4" customWidth="1"/>
    <col min="6661" max="6661" width="8.5703125" style="4" customWidth="1"/>
    <col min="6662" max="6662" width="17" style="4" bestFit="1" customWidth="1"/>
    <col min="6663" max="6663" width="16.7109375" style="4" bestFit="1" customWidth="1"/>
    <col min="6664" max="6664" width="18" style="4" bestFit="1" customWidth="1"/>
    <col min="6665" max="6665" width="17.7109375" style="4" bestFit="1" customWidth="1"/>
    <col min="6666" max="6666" width="13.5703125" style="4" customWidth="1"/>
    <col min="6667" max="6667" width="18.5703125" style="4" bestFit="1" customWidth="1"/>
    <col min="6668" max="6668" width="15.5703125" style="4" customWidth="1"/>
    <col min="6669" max="6669" width="13.5703125" style="4" customWidth="1"/>
    <col min="6670" max="6912" width="11.42578125" style="4"/>
    <col min="6913" max="6913" width="2.5703125" style="4" customWidth="1"/>
    <col min="6914" max="6914" width="22.42578125" style="4" customWidth="1"/>
    <col min="6915" max="6915" width="12.140625" style="4" bestFit="1" customWidth="1"/>
    <col min="6916" max="6916" width="8.140625" style="4" customWidth="1"/>
    <col min="6917" max="6917" width="8.5703125" style="4" customWidth="1"/>
    <col min="6918" max="6918" width="17" style="4" bestFit="1" customWidth="1"/>
    <col min="6919" max="6919" width="16.7109375" style="4" bestFit="1" customWidth="1"/>
    <col min="6920" max="6920" width="18" style="4" bestFit="1" customWidth="1"/>
    <col min="6921" max="6921" width="17.7109375" style="4" bestFit="1" customWidth="1"/>
    <col min="6922" max="6922" width="13.5703125" style="4" customWidth="1"/>
    <col min="6923" max="6923" width="18.5703125" style="4" bestFit="1" customWidth="1"/>
    <col min="6924" max="6924" width="15.5703125" style="4" customWidth="1"/>
    <col min="6925" max="6925" width="13.5703125" style="4" customWidth="1"/>
    <col min="6926" max="7168" width="11.42578125" style="4"/>
    <col min="7169" max="7169" width="2.5703125" style="4" customWidth="1"/>
    <col min="7170" max="7170" width="22.42578125" style="4" customWidth="1"/>
    <col min="7171" max="7171" width="12.140625" style="4" bestFit="1" customWidth="1"/>
    <col min="7172" max="7172" width="8.140625" style="4" customWidth="1"/>
    <col min="7173" max="7173" width="8.5703125" style="4" customWidth="1"/>
    <col min="7174" max="7174" width="17" style="4" bestFit="1" customWidth="1"/>
    <col min="7175" max="7175" width="16.7109375" style="4" bestFit="1" customWidth="1"/>
    <col min="7176" max="7176" width="18" style="4" bestFit="1" customWidth="1"/>
    <col min="7177" max="7177" width="17.7109375" style="4" bestFit="1" customWidth="1"/>
    <col min="7178" max="7178" width="13.5703125" style="4" customWidth="1"/>
    <col min="7179" max="7179" width="18.5703125" style="4" bestFit="1" customWidth="1"/>
    <col min="7180" max="7180" width="15.5703125" style="4" customWidth="1"/>
    <col min="7181" max="7181" width="13.5703125" style="4" customWidth="1"/>
    <col min="7182" max="7424" width="11.42578125" style="4"/>
    <col min="7425" max="7425" width="2.5703125" style="4" customWidth="1"/>
    <col min="7426" max="7426" width="22.42578125" style="4" customWidth="1"/>
    <col min="7427" max="7427" width="12.140625" style="4" bestFit="1" customWidth="1"/>
    <col min="7428" max="7428" width="8.140625" style="4" customWidth="1"/>
    <col min="7429" max="7429" width="8.5703125" style="4" customWidth="1"/>
    <col min="7430" max="7430" width="17" style="4" bestFit="1" customWidth="1"/>
    <col min="7431" max="7431" width="16.7109375" style="4" bestFit="1" customWidth="1"/>
    <col min="7432" max="7432" width="18" style="4" bestFit="1" customWidth="1"/>
    <col min="7433" max="7433" width="17.7109375" style="4" bestFit="1" customWidth="1"/>
    <col min="7434" max="7434" width="13.5703125" style="4" customWidth="1"/>
    <col min="7435" max="7435" width="18.5703125" style="4" bestFit="1" customWidth="1"/>
    <col min="7436" max="7436" width="15.5703125" style="4" customWidth="1"/>
    <col min="7437" max="7437" width="13.5703125" style="4" customWidth="1"/>
    <col min="7438" max="7680" width="11.42578125" style="4"/>
    <col min="7681" max="7681" width="2.5703125" style="4" customWidth="1"/>
    <col min="7682" max="7682" width="22.42578125" style="4" customWidth="1"/>
    <col min="7683" max="7683" width="12.140625" style="4" bestFit="1" customWidth="1"/>
    <col min="7684" max="7684" width="8.140625" style="4" customWidth="1"/>
    <col min="7685" max="7685" width="8.5703125" style="4" customWidth="1"/>
    <col min="7686" max="7686" width="17" style="4" bestFit="1" customWidth="1"/>
    <col min="7687" max="7687" width="16.7109375" style="4" bestFit="1" customWidth="1"/>
    <col min="7688" max="7688" width="18" style="4" bestFit="1" customWidth="1"/>
    <col min="7689" max="7689" width="17.7109375" style="4" bestFit="1" customWidth="1"/>
    <col min="7690" max="7690" width="13.5703125" style="4" customWidth="1"/>
    <col min="7691" max="7691" width="18.5703125" style="4" bestFit="1" customWidth="1"/>
    <col min="7692" max="7692" width="15.5703125" style="4" customWidth="1"/>
    <col min="7693" max="7693" width="13.5703125" style="4" customWidth="1"/>
    <col min="7694" max="7936" width="11.42578125" style="4"/>
    <col min="7937" max="7937" width="2.5703125" style="4" customWidth="1"/>
    <col min="7938" max="7938" width="22.42578125" style="4" customWidth="1"/>
    <col min="7939" max="7939" width="12.140625" style="4" bestFit="1" customWidth="1"/>
    <col min="7940" max="7940" width="8.140625" style="4" customWidth="1"/>
    <col min="7941" max="7941" width="8.5703125" style="4" customWidth="1"/>
    <col min="7942" max="7942" width="17" style="4" bestFit="1" customWidth="1"/>
    <col min="7943" max="7943" width="16.7109375" style="4" bestFit="1" customWidth="1"/>
    <col min="7944" max="7944" width="18" style="4" bestFit="1" customWidth="1"/>
    <col min="7945" max="7945" width="17.7109375" style="4" bestFit="1" customWidth="1"/>
    <col min="7946" max="7946" width="13.5703125" style="4" customWidth="1"/>
    <col min="7947" max="7947" width="18.5703125" style="4" bestFit="1" customWidth="1"/>
    <col min="7948" max="7948" width="15.5703125" style="4" customWidth="1"/>
    <col min="7949" max="7949" width="13.5703125" style="4" customWidth="1"/>
    <col min="7950" max="8192" width="11.42578125" style="4"/>
    <col min="8193" max="8193" width="2.5703125" style="4" customWidth="1"/>
    <col min="8194" max="8194" width="22.42578125" style="4" customWidth="1"/>
    <col min="8195" max="8195" width="12.140625" style="4" bestFit="1" customWidth="1"/>
    <col min="8196" max="8196" width="8.140625" style="4" customWidth="1"/>
    <col min="8197" max="8197" width="8.5703125" style="4" customWidth="1"/>
    <col min="8198" max="8198" width="17" style="4" bestFit="1" customWidth="1"/>
    <col min="8199" max="8199" width="16.7109375" style="4" bestFit="1" customWidth="1"/>
    <col min="8200" max="8200" width="18" style="4" bestFit="1" customWidth="1"/>
    <col min="8201" max="8201" width="17.7109375" style="4" bestFit="1" customWidth="1"/>
    <col min="8202" max="8202" width="13.5703125" style="4" customWidth="1"/>
    <col min="8203" max="8203" width="18.5703125" style="4" bestFit="1" customWidth="1"/>
    <col min="8204" max="8204" width="15.5703125" style="4" customWidth="1"/>
    <col min="8205" max="8205" width="13.5703125" style="4" customWidth="1"/>
    <col min="8206" max="8448" width="11.42578125" style="4"/>
    <col min="8449" max="8449" width="2.5703125" style="4" customWidth="1"/>
    <col min="8450" max="8450" width="22.42578125" style="4" customWidth="1"/>
    <col min="8451" max="8451" width="12.140625" style="4" bestFit="1" customWidth="1"/>
    <col min="8452" max="8452" width="8.140625" style="4" customWidth="1"/>
    <col min="8453" max="8453" width="8.5703125" style="4" customWidth="1"/>
    <col min="8454" max="8454" width="17" style="4" bestFit="1" customWidth="1"/>
    <col min="8455" max="8455" width="16.7109375" style="4" bestFit="1" customWidth="1"/>
    <col min="8456" max="8456" width="18" style="4" bestFit="1" customWidth="1"/>
    <col min="8457" max="8457" width="17.7109375" style="4" bestFit="1" customWidth="1"/>
    <col min="8458" max="8458" width="13.5703125" style="4" customWidth="1"/>
    <col min="8459" max="8459" width="18.5703125" style="4" bestFit="1" customWidth="1"/>
    <col min="8460" max="8460" width="15.5703125" style="4" customWidth="1"/>
    <col min="8461" max="8461" width="13.5703125" style="4" customWidth="1"/>
    <col min="8462" max="8704" width="11.42578125" style="4"/>
    <col min="8705" max="8705" width="2.5703125" style="4" customWidth="1"/>
    <col min="8706" max="8706" width="22.42578125" style="4" customWidth="1"/>
    <col min="8707" max="8707" width="12.140625" style="4" bestFit="1" customWidth="1"/>
    <col min="8708" max="8708" width="8.140625" style="4" customWidth="1"/>
    <col min="8709" max="8709" width="8.5703125" style="4" customWidth="1"/>
    <col min="8710" max="8710" width="17" style="4" bestFit="1" customWidth="1"/>
    <col min="8711" max="8711" width="16.7109375" style="4" bestFit="1" customWidth="1"/>
    <col min="8712" max="8712" width="18" style="4" bestFit="1" customWidth="1"/>
    <col min="8713" max="8713" width="17.7109375" style="4" bestFit="1" customWidth="1"/>
    <col min="8714" max="8714" width="13.5703125" style="4" customWidth="1"/>
    <col min="8715" max="8715" width="18.5703125" style="4" bestFit="1" customWidth="1"/>
    <col min="8716" max="8716" width="15.5703125" style="4" customWidth="1"/>
    <col min="8717" max="8717" width="13.5703125" style="4" customWidth="1"/>
    <col min="8718" max="8960" width="11.42578125" style="4"/>
    <col min="8961" max="8961" width="2.5703125" style="4" customWidth="1"/>
    <col min="8962" max="8962" width="22.42578125" style="4" customWidth="1"/>
    <col min="8963" max="8963" width="12.140625" style="4" bestFit="1" customWidth="1"/>
    <col min="8964" max="8964" width="8.140625" style="4" customWidth="1"/>
    <col min="8965" max="8965" width="8.5703125" style="4" customWidth="1"/>
    <col min="8966" max="8966" width="17" style="4" bestFit="1" customWidth="1"/>
    <col min="8967" max="8967" width="16.7109375" style="4" bestFit="1" customWidth="1"/>
    <col min="8968" max="8968" width="18" style="4" bestFit="1" customWidth="1"/>
    <col min="8969" max="8969" width="17.7109375" style="4" bestFit="1" customWidth="1"/>
    <col min="8970" max="8970" width="13.5703125" style="4" customWidth="1"/>
    <col min="8971" max="8971" width="18.5703125" style="4" bestFit="1" customWidth="1"/>
    <col min="8972" max="8972" width="15.5703125" style="4" customWidth="1"/>
    <col min="8973" max="8973" width="13.5703125" style="4" customWidth="1"/>
    <col min="8974" max="9216" width="11.42578125" style="4"/>
    <col min="9217" max="9217" width="2.5703125" style="4" customWidth="1"/>
    <col min="9218" max="9218" width="22.42578125" style="4" customWidth="1"/>
    <col min="9219" max="9219" width="12.140625" style="4" bestFit="1" customWidth="1"/>
    <col min="9220" max="9220" width="8.140625" style="4" customWidth="1"/>
    <col min="9221" max="9221" width="8.5703125" style="4" customWidth="1"/>
    <col min="9222" max="9222" width="17" style="4" bestFit="1" customWidth="1"/>
    <col min="9223" max="9223" width="16.7109375" style="4" bestFit="1" customWidth="1"/>
    <col min="9224" max="9224" width="18" style="4" bestFit="1" customWidth="1"/>
    <col min="9225" max="9225" width="17.7109375" style="4" bestFit="1" customWidth="1"/>
    <col min="9226" max="9226" width="13.5703125" style="4" customWidth="1"/>
    <col min="9227" max="9227" width="18.5703125" style="4" bestFit="1" customWidth="1"/>
    <col min="9228" max="9228" width="15.5703125" style="4" customWidth="1"/>
    <col min="9229" max="9229" width="13.5703125" style="4" customWidth="1"/>
    <col min="9230" max="9472" width="11.42578125" style="4"/>
    <col min="9473" max="9473" width="2.5703125" style="4" customWidth="1"/>
    <col min="9474" max="9474" width="22.42578125" style="4" customWidth="1"/>
    <col min="9475" max="9475" width="12.140625" style="4" bestFit="1" customWidth="1"/>
    <col min="9476" max="9476" width="8.140625" style="4" customWidth="1"/>
    <col min="9477" max="9477" width="8.5703125" style="4" customWidth="1"/>
    <col min="9478" max="9478" width="17" style="4" bestFit="1" customWidth="1"/>
    <col min="9479" max="9479" width="16.7109375" style="4" bestFit="1" customWidth="1"/>
    <col min="9480" max="9480" width="18" style="4" bestFit="1" customWidth="1"/>
    <col min="9481" max="9481" width="17.7109375" style="4" bestFit="1" customWidth="1"/>
    <col min="9482" max="9482" width="13.5703125" style="4" customWidth="1"/>
    <col min="9483" max="9483" width="18.5703125" style="4" bestFit="1" customWidth="1"/>
    <col min="9484" max="9484" width="15.5703125" style="4" customWidth="1"/>
    <col min="9485" max="9485" width="13.5703125" style="4" customWidth="1"/>
    <col min="9486" max="9728" width="11.42578125" style="4"/>
    <col min="9729" max="9729" width="2.5703125" style="4" customWidth="1"/>
    <col min="9730" max="9730" width="22.42578125" style="4" customWidth="1"/>
    <col min="9731" max="9731" width="12.140625" style="4" bestFit="1" customWidth="1"/>
    <col min="9732" max="9732" width="8.140625" style="4" customWidth="1"/>
    <col min="9733" max="9733" width="8.5703125" style="4" customWidth="1"/>
    <col min="9734" max="9734" width="17" style="4" bestFit="1" customWidth="1"/>
    <col min="9735" max="9735" width="16.7109375" style="4" bestFit="1" customWidth="1"/>
    <col min="9736" max="9736" width="18" style="4" bestFit="1" customWidth="1"/>
    <col min="9737" max="9737" width="17.7109375" style="4" bestFit="1" customWidth="1"/>
    <col min="9738" max="9738" width="13.5703125" style="4" customWidth="1"/>
    <col min="9739" max="9739" width="18.5703125" style="4" bestFit="1" customWidth="1"/>
    <col min="9740" max="9740" width="15.5703125" style="4" customWidth="1"/>
    <col min="9741" max="9741" width="13.5703125" style="4" customWidth="1"/>
    <col min="9742" max="9984" width="11.42578125" style="4"/>
    <col min="9985" max="9985" width="2.5703125" style="4" customWidth="1"/>
    <col min="9986" max="9986" width="22.42578125" style="4" customWidth="1"/>
    <col min="9987" max="9987" width="12.140625" style="4" bestFit="1" customWidth="1"/>
    <col min="9988" max="9988" width="8.140625" style="4" customWidth="1"/>
    <col min="9989" max="9989" width="8.5703125" style="4" customWidth="1"/>
    <col min="9990" max="9990" width="17" style="4" bestFit="1" customWidth="1"/>
    <col min="9991" max="9991" width="16.7109375" style="4" bestFit="1" customWidth="1"/>
    <col min="9992" max="9992" width="18" style="4" bestFit="1" customWidth="1"/>
    <col min="9993" max="9993" width="17.7109375" style="4" bestFit="1" customWidth="1"/>
    <col min="9994" max="9994" width="13.5703125" style="4" customWidth="1"/>
    <col min="9995" max="9995" width="18.5703125" style="4" bestFit="1" customWidth="1"/>
    <col min="9996" max="9996" width="15.5703125" style="4" customWidth="1"/>
    <col min="9997" max="9997" width="13.5703125" style="4" customWidth="1"/>
    <col min="9998" max="10240" width="11.42578125" style="4"/>
    <col min="10241" max="10241" width="2.5703125" style="4" customWidth="1"/>
    <col min="10242" max="10242" width="22.42578125" style="4" customWidth="1"/>
    <col min="10243" max="10243" width="12.140625" style="4" bestFit="1" customWidth="1"/>
    <col min="10244" max="10244" width="8.140625" style="4" customWidth="1"/>
    <col min="10245" max="10245" width="8.5703125" style="4" customWidth="1"/>
    <col min="10246" max="10246" width="17" style="4" bestFit="1" customWidth="1"/>
    <col min="10247" max="10247" width="16.7109375" style="4" bestFit="1" customWidth="1"/>
    <col min="10248" max="10248" width="18" style="4" bestFit="1" customWidth="1"/>
    <col min="10249" max="10249" width="17.7109375" style="4" bestFit="1" customWidth="1"/>
    <col min="10250" max="10250" width="13.5703125" style="4" customWidth="1"/>
    <col min="10251" max="10251" width="18.5703125" style="4" bestFit="1" customWidth="1"/>
    <col min="10252" max="10252" width="15.5703125" style="4" customWidth="1"/>
    <col min="10253" max="10253" width="13.5703125" style="4" customWidth="1"/>
    <col min="10254" max="10496" width="11.42578125" style="4"/>
    <col min="10497" max="10497" width="2.5703125" style="4" customWidth="1"/>
    <col min="10498" max="10498" width="22.42578125" style="4" customWidth="1"/>
    <col min="10499" max="10499" width="12.140625" style="4" bestFit="1" customWidth="1"/>
    <col min="10500" max="10500" width="8.140625" style="4" customWidth="1"/>
    <col min="10501" max="10501" width="8.5703125" style="4" customWidth="1"/>
    <col min="10502" max="10502" width="17" style="4" bestFit="1" customWidth="1"/>
    <col min="10503" max="10503" width="16.7109375" style="4" bestFit="1" customWidth="1"/>
    <col min="10504" max="10504" width="18" style="4" bestFit="1" customWidth="1"/>
    <col min="10505" max="10505" width="17.7109375" style="4" bestFit="1" customWidth="1"/>
    <col min="10506" max="10506" width="13.5703125" style="4" customWidth="1"/>
    <col min="10507" max="10507" width="18.5703125" style="4" bestFit="1" customWidth="1"/>
    <col min="10508" max="10508" width="15.5703125" style="4" customWidth="1"/>
    <col min="10509" max="10509" width="13.5703125" style="4" customWidth="1"/>
    <col min="10510" max="10752" width="11.42578125" style="4"/>
    <col min="10753" max="10753" width="2.5703125" style="4" customWidth="1"/>
    <col min="10754" max="10754" width="22.42578125" style="4" customWidth="1"/>
    <col min="10755" max="10755" width="12.140625" style="4" bestFit="1" customWidth="1"/>
    <col min="10756" max="10756" width="8.140625" style="4" customWidth="1"/>
    <col min="10757" max="10757" width="8.5703125" style="4" customWidth="1"/>
    <col min="10758" max="10758" width="17" style="4" bestFit="1" customWidth="1"/>
    <col min="10759" max="10759" width="16.7109375" style="4" bestFit="1" customWidth="1"/>
    <col min="10760" max="10760" width="18" style="4" bestFit="1" customWidth="1"/>
    <col min="10761" max="10761" width="17.7109375" style="4" bestFit="1" customWidth="1"/>
    <col min="10762" max="10762" width="13.5703125" style="4" customWidth="1"/>
    <col min="10763" max="10763" width="18.5703125" style="4" bestFit="1" customWidth="1"/>
    <col min="10764" max="10764" width="15.5703125" style="4" customWidth="1"/>
    <col min="10765" max="10765" width="13.5703125" style="4" customWidth="1"/>
    <col min="10766" max="11008" width="11.42578125" style="4"/>
    <col min="11009" max="11009" width="2.5703125" style="4" customWidth="1"/>
    <col min="11010" max="11010" width="22.42578125" style="4" customWidth="1"/>
    <col min="11011" max="11011" width="12.140625" style="4" bestFit="1" customWidth="1"/>
    <col min="11012" max="11012" width="8.140625" style="4" customWidth="1"/>
    <col min="11013" max="11013" width="8.5703125" style="4" customWidth="1"/>
    <col min="11014" max="11014" width="17" style="4" bestFit="1" customWidth="1"/>
    <col min="11015" max="11015" width="16.7109375" style="4" bestFit="1" customWidth="1"/>
    <col min="11016" max="11016" width="18" style="4" bestFit="1" customWidth="1"/>
    <col min="11017" max="11017" width="17.7109375" style="4" bestFit="1" customWidth="1"/>
    <col min="11018" max="11018" width="13.5703125" style="4" customWidth="1"/>
    <col min="11019" max="11019" width="18.5703125" style="4" bestFit="1" customWidth="1"/>
    <col min="11020" max="11020" width="15.5703125" style="4" customWidth="1"/>
    <col min="11021" max="11021" width="13.5703125" style="4" customWidth="1"/>
    <col min="11022" max="11264" width="11.42578125" style="4"/>
    <col min="11265" max="11265" width="2.5703125" style="4" customWidth="1"/>
    <col min="11266" max="11266" width="22.42578125" style="4" customWidth="1"/>
    <col min="11267" max="11267" width="12.140625" style="4" bestFit="1" customWidth="1"/>
    <col min="11268" max="11268" width="8.140625" style="4" customWidth="1"/>
    <col min="11269" max="11269" width="8.5703125" style="4" customWidth="1"/>
    <col min="11270" max="11270" width="17" style="4" bestFit="1" customWidth="1"/>
    <col min="11271" max="11271" width="16.7109375" style="4" bestFit="1" customWidth="1"/>
    <col min="11272" max="11272" width="18" style="4" bestFit="1" customWidth="1"/>
    <col min="11273" max="11273" width="17.7109375" style="4" bestFit="1" customWidth="1"/>
    <col min="11274" max="11274" width="13.5703125" style="4" customWidth="1"/>
    <col min="11275" max="11275" width="18.5703125" style="4" bestFit="1" customWidth="1"/>
    <col min="11276" max="11276" width="15.5703125" style="4" customWidth="1"/>
    <col min="11277" max="11277" width="13.5703125" style="4" customWidth="1"/>
    <col min="11278" max="11520" width="11.42578125" style="4"/>
    <col min="11521" max="11521" width="2.5703125" style="4" customWidth="1"/>
    <col min="11522" max="11522" width="22.42578125" style="4" customWidth="1"/>
    <col min="11523" max="11523" width="12.140625" style="4" bestFit="1" customWidth="1"/>
    <col min="11524" max="11524" width="8.140625" style="4" customWidth="1"/>
    <col min="11525" max="11525" width="8.5703125" style="4" customWidth="1"/>
    <col min="11526" max="11526" width="17" style="4" bestFit="1" customWidth="1"/>
    <col min="11527" max="11527" width="16.7109375" style="4" bestFit="1" customWidth="1"/>
    <col min="11528" max="11528" width="18" style="4" bestFit="1" customWidth="1"/>
    <col min="11529" max="11529" width="17.7109375" style="4" bestFit="1" customWidth="1"/>
    <col min="11530" max="11530" width="13.5703125" style="4" customWidth="1"/>
    <col min="11531" max="11531" width="18.5703125" style="4" bestFit="1" customWidth="1"/>
    <col min="11532" max="11532" width="15.5703125" style="4" customWidth="1"/>
    <col min="11533" max="11533" width="13.5703125" style="4" customWidth="1"/>
    <col min="11534" max="11776" width="11.42578125" style="4"/>
    <col min="11777" max="11777" width="2.5703125" style="4" customWidth="1"/>
    <col min="11778" max="11778" width="22.42578125" style="4" customWidth="1"/>
    <col min="11779" max="11779" width="12.140625" style="4" bestFit="1" customWidth="1"/>
    <col min="11780" max="11780" width="8.140625" style="4" customWidth="1"/>
    <col min="11781" max="11781" width="8.5703125" style="4" customWidth="1"/>
    <col min="11782" max="11782" width="17" style="4" bestFit="1" customWidth="1"/>
    <col min="11783" max="11783" width="16.7109375" style="4" bestFit="1" customWidth="1"/>
    <col min="11784" max="11784" width="18" style="4" bestFit="1" customWidth="1"/>
    <col min="11785" max="11785" width="17.7109375" style="4" bestFit="1" customWidth="1"/>
    <col min="11786" max="11786" width="13.5703125" style="4" customWidth="1"/>
    <col min="11787" max="11787" width="18.5703125" style="4" bestFit="1" customWidth="1"/>
    <col min="11788" max="11788" width="15.5703125" style="4" customWidth="1"/>
    <col min="11789" max="11789" width="13.5703125" style="4" customWidth="1"/>
    <col min="11790" max="12032" width="11.42578125" style="4"/>
    <col min="12033" max="12033" width="2.5703125" style="4" customWidth="1"/>
    <col min="12034" max="12034" width="22.42578125" style="4" customWidth="1"/>
    <col min="12035" max="12035" width="12.140625" style="4" bestFit="1" customWidth="1"/>
    <col min="12036" max="12036" width="8.140625" style="4" customWidth="1"/>
    <col min="12037" max="12037" width="8.5703125" style="4" customWidth="1"/>
    <col min="12038" max="12038" width="17" style="4" bestFit="1" customWidth="1"/>
    <col min="12039" max="12039" width="16.7109375" style="4" bestFit="1" customWidth="1"/>
    <col min="12040" max="12040" width="18" style="4" bestFit="1" customWidth="1"/>
    <col min="12041" max="12041" width="17.7109375" style="4" bestFit="1" customWidth="1"/>
    <col min="12042" max="12042" width="13.5703125" style="4" customWidth="1"/>
    <col min="12043" max="12043" width="18.5703125" style="4" bestFit="1" customWidth="1"/>
    <col min="12044" max="12044" width="15.5703125" style="4" customWidth="1"/>
    <col min="12045" max="12045" width="13.5703125" style="4" customWidth="1"/>
    <col min="12046" max="12288" width="11.42578125" style="4"/>
    <col min="12289" max="12289" width="2.5703125" style="4" customWidth="1"/>
    <col min="12290" max="12290" width="22.42578125" style="4" customWidth="1"/>
    <col min="12291" max="12291" width="12.140625" style="4" bestFit="1" customWidth="1"/>
    <col min="12292" max="12292" width="8.140625" style="4" customWidth="1"/>
    <col min="12293" max="12293" width="8.5703125" style="4" customWidth="1"/>
    <col min="12294" max="12294" width="17" style="4" bestFit="1" customWidth="1"/>
    <col min="12295" max="12295" width="16.7109375" style="4" bestFit="1" customWidth="1"/>
    <col min="12296" max="12296" width="18" style="4" bestFit="1" customWidth="1"/>
    <col min="12297" max="12297" width="17.7109375" style="4" bestFit="1" customWidth="1"/>
    <col min="12298" max="12298" width="13.5703125" style="4" customWidth="1"/>
    <col min="12299" max="12299" width="18.5703125" style="4" bestFit="1" customWidth="1"/>
    <col min="12300" max="12300" width="15.5703125" style="4" customWidth="1"/>
    <col min="12301" max="12301" width="13.5703125" style="4" customWidth="1"/>
    <col min="12302" max="12544" width="11.42578125" style="4"/>
    <col min="12545" max="12545" width="2.5703125" style="4" customWidth="1"/>
    <col min="12546" max="12546" width="22.42578125" style="4" customWidth="1"/>
    <col min="12547" max="12547" width="12.140625" style="4" bestFit="1" customWidth="1"/>
    <col min="12548" max="12548" width="8.140625" style="4" customWidth="1"/>
    <col min="12549" max="12549" width="8.5703125" style="4" customWidth="1"/>
    <col min="12550" max="12550" width="17" style="4" bestFit="1" customWidth="1"/>
    <col min="12551" max="12551" width="16.7109375" style="4" bestFit="1" customWidth="1"/>
    <col min="12552" max="12552" width="18" style="4" bestFit="1" customWidth="1"/>
    <col min="12553" max="12553" width="17.7109375" style="4" bestFit="1" customWidth="1"/>
    <col min="12554" max="12554" width="13.5703125" style="4" customWidth="1"/>
    <col min="12555" max="12555" width="18.5703125" style="4" bestFit="1" customWidth="1"/>
    <col min="12556" max="12556" width="15.5703125" style="4" customWidth="1"/>
    <col min="12557" max="12557" width="13.5703125" style="4" customWidth="1"/>
    <col min="12558" max="12800" width="11.42578125" style="4"/>
    <col min="12801" max="12801" width="2.5703125" style="4" customWidth="1"/>
    <col min="12802" max="12802" width="22.42578125" style="4" customWidth="1"/>
    <col min="12803" max="12803" width="12.140625" style="4" bestFit="1" customWidth="1"/>
    <col min="12804" max="12804" width="8.140625" style="4" customWidth="1"/>
    <col min="12805" max="12805" width="8.5703125" style="4" customWidth="1"/>
    <col min="12806" max="12806" width="17" style="4" bestFit="1" customWidth="1"/>
    <col min="12807" max="12807" width="16.7109375" style="4" bestFit="1" customWidth="1"/>
    <col min="12808" max="12808" width="18" style="4" bestFit="1" customWidth="1"/>
    <col min="12809" max="12809" width="17.7109375" style="4" bestFit="1" customWidth="1"/>
    <col min="12810" max="12810" width="13.5703125" style="4" customWidth="1"/>
    <col min="12811" max="12811" width="18.5703125" style="4" bestFit="1" customWidth="1"/>
    <col min="12812" max="12812" width="15.5703125" style="4" customWidth="1"/>
    <col min="12813" max="12813" width="13.5703125" style="4" customWidth="1"/>
    <col min="12814" max="13056" width="11.42578125" style="4"/>
    <col min="13057" max="13057" width="2.5703125" style="4" customWidth="1"/>
    <col min="13058" max="13058" width="22.42578125" style="4" customWidth="1"/>
    <col min="13059" max="13059" width="12.140625" style="4" bestFit="1" customWidth="1"/>
    <col min="13060" max="13060" width="8.140625" style="4" customWidth="1"/>
    <col min="13061" max="13061" width="8.5703125" style="4" customWidth="1"/>
    <col min="13062" max="13062" width="17" style="4" bestFit="1" customWidth="1"/>
    <col min="13063" max="13063" width="16.7109375" style="4" bestFit="1" customWidth="1"/>
    <col min="13064" max="13064" width="18" style="4" bestFit="1" customWidth="1"/>
    <col min="13065" max="13065" width="17.7109375" style="4" bestFit="1" customWidth="1"/>
    <col min="13066" max="13066" width="13.5703125" style="4" customWidth="1"/>
    <col min="13067" max="13067" width="18.5703125" style="4" bestFit="1" customWidth="1"/>
    <col min="13068" max="13068" width="15.5703125" style="4" customWidth="1"/>
    <col min="13069" max="13069" width="13.5703125" style="4" customWidth="1"/>
    <col min="13070" max="13312" width="11.42578125" style="4"/>
    <col min="13313" max="13313" width="2.5703125" style="4" customWidth="1"/>
    <col min="13314" max="13314" width="22.42578125" style="4" customWidth="1"/>
    <col min="13315" max="13315" width="12.140625" style="4" bestFit="1" customWidth="1"/>
    <col min="13316" max="13316" width="8.140625" style="4" customWidth="1"/>
    <col min="13317" max="13317" width="8.5703125" style="4" customWidth="1"/>
    <col min="13318" max="13318" width="17" style="4" bestFit="1" customWidth="1"/>
    <col min="13319" max="13319" width="16.7109375" style="4" bestFit="1" customWidth="1"/>
    <col min="13320" max="13320" width="18" style="4" bestFit="1" customWidth="1"/>
    <col min="13321" max="13321" width="17.7109375" style="4" bestFit="1" customWidth="1"/>
    <col min="13322" max="13322" width="13.5703125" style="4" customWidth="1"/>
    <col min="13323" max="13323" width="18.5703125" style="4" bestFit="1" customWidth="1"/>
    <col min="13324" max="13324" width="15.5703125" style="4" customWidth="1"/>
    <col min="13325" max="13325" width="13.5703125" style="4" customWidth="1"/>
    <col min="13326" max="13568" width="11.42578125" style="4"/>
    <col min="13569" max="13569" width="2.5703125" style="4" customWidth="1"/>
    <col min="13570" max="13570" width="22.42578125" style="4" customWidth="1"/>
    <col min="13571" max="13571" width="12.140625" style="4" bestFit="1" customWidth="1"/>
    <col min="13572" max="13572" width="8.140625" style="4" customWidth="1"/>
    <col min="13573" max="13573" width="8.5703125" style="4" customWidth="1"/>
    <col min="13574" max="13574" width="17" style="4" bestFit="1" customWidth="1"/>
    <col min="13575" max="13575" width="16.7109375" style="4" bestFit="1" customWidth="1"/>
    <col min="13576" max="13576" width="18" style="4" bestFit="1" customWidth="1"/>
    <col min="13577" max="13577" width="17.7109375" style="4" bestFit="1" customWidth="1"/>
    <col min="13578" max="13578" width="13.5703125" style="4" customWidth="1"/>
    <col min="13579" max="13579" width="18.5703125" style="4" bestFit="1" customWidth="1"/>
    <col min="13580" max="13580" width="15.5703125" style="4" customWidth="1"/>
    <col min="13581" max="13581" width="13.5703125" style="4" customWidth="1"/>
    <col min="13582" max="13824" width="11.42578125" style="4"/>
    <col min="13825" max="13825" width="2.5703125" style="4" customWidth="1"/>
    <col min="13826" max="13826" width="22.42578125" style="4" customWidth="1"/>
    <col min="13827" max="13827" width="12.140625" style="4" bestFit="1" customWidth="1"/>
    <col min="13828" max="13828" width="8.140625" style="4" customWidth="1"/>
    <col min="13829" max="13829" width="8.5703125" style="4" customWidth="1"/>
    <col min="13830" max="13830" width="17" style="4" bestFit="1" customWidth="1"/>
    <col min="13831" max="13831" width="16.7109375" style="4" bestFit="1" customWidth="1"/>
    <col min="13832" max="13832" width="18" style="4" bestFit="1" customWidth="1"/>
    <col min="13833" max="13833" width="17.7109375" style="4" bestFit="1" customWidth="1"/>
    <col min="13834" max="13834" width="13.5703125" style="4" customWidth="1"/>
    <col min="13835" max="13835" width="18.5703125" style="4" bestFit="1" customWidth="1"/>
    <col min="13836" max="13836" width="15.5703125" style="4" customWidth="1"/>
    <col min="13837" max="13837" width="13.5703125" style="4" customWidth="1"/>
    <col min="13838" max="14080" width="11.42578125" style="4"/>
    <col min="14081" max="14081" width="2.5703125" style="4" customWidth="1"/>
    <col min="14082" max="14082" width="22.42578125" style="4" customWidth="1"/>
    <col min="14083" max="14083" width="12.140625" style="4" bestFit="1" customWidth="1"/>
    <col min="14084" max="14084" width="8.140625" style="4" customWidth="1"/>
    <col min="14085" max="14085" width="8.5703125" style="4" customWidth="1"/>
    <col min="14086" max="14086" width="17" style="4" bestFit="1" customWidth="1"/>
    <col min="14087" max="14087" width="16.7109375" style="4" bestFit="1" customWidth="1"/>
    <col min="14088" max="14088" width="18" style="4" bestFit="1" customWidth="1"/>
    <col min="14089" max="14089" width="17.7109375" style="4" bestFit="1" customWidth="1"/>
    <col min="14090" max="14090" width="13.5703125" style="4" customWidth="1"/>
    <col min="14091" max="14091" width="18.5703125" style="4" bestFit="1" customWidth="1"/>
    <col min="14092" max="14092" width="15.5703125" style="4" customWidth="1"/>
    <col min="14093" max="14093" width="13.5703125" style="4" customWidth="1"/>
    <col min="14094" max="14336" width="11.42578125" style="4"/>
    <col min="14337" max="14337" width="2.5703125" style="4" customWidth="1"/>
    <col min="14338" max="14338" width="22.42578125" style="4" customWidth="1"/>
    <col min="14339" max="14339" width="12.140625" style="4" bestFit="1" customWidth="1"/>
    <col min="14340" max="14340" width="8.140625" style="4" customWidth="1"/>
    <col min="14341" max="14341" width="8.5703125" style="4" customWidth="1"/>
    <col min="14342" max="14342" width="17" style="4" bestFit="1" customWidth="1"/>
    <col min="14343" max="14343" width="16.7109375" style="4" bestFit="1" customWidth="1"/>
    <col min="14344" max="14344" width="18" style="4" bestFit="1" customWidth="1"/>
    <col min="14345" max="14345" width="17.7109375" style="4" bestFit="1" customWidth="1"/>
    <col min="14346" max="14346" width="13.5703125" style="4" customWidth="1"/>
    <col min="14347" max="14347" width="18.5703125" style="4" bestFit="1" customWidth="1"/>
    <col min="14348" max="14348" width="15.5703125" style="4" customWidth="1"/>
    <col min="14349" max="14349" width="13.5703125" style="4" customWidth="1"/>
    <col min="14350" max="14592" width="11.42578125" style="4"/>
    <col min="14593" max="14593" width="2.5703125" style="4" customWidth="1"/>
    <col min="14594" max="14594" width="22.42578125" style="4" customWidth="1"/>
    <col min="14595" max="14595" width="12.140625" style="4" bestFit="1" customWidth="1"/>
    <col min="14596" max="14596" width="8.140625" style="4" customWidth="1"/>
    <col min="14597" max="14597" width="8.5703125" style="4" customWidth="1"/>
    <col min="14598" max="14598" width="17" style="4" bestFit="1" customWidth="1"/>
    <col min="14599" max="14599" width="16.7109375" style="4" bestFit="1" customWidth="1"/>
    <col min="14600" max="14600" width="18" style="4" bestFit="1" customWidth="1"/>
    <col min="14601" max="14601" width="17.7109375" style="4" bestFit="1" customWidth="1"/>
    <col min="14602" max="14602" width="13.5703125" style="4" customWidth="1"/>
    <col min="14603" max="14603" width="18.5703125" style="4" bestFit="1" customWidth="1"/>
    <col min="14604" max="14604" width="15.5703125" style="4" customWidth="1"/>
    <col min="14605" max="14605" width="13.5703125" style="4" customWidth="1"/>
    <col min="14606" max="14848" width="11.42578125" style="4"/>
    <col min="14849" max="14849" width="2.5703125" style="4" customWidth="1"/>
    <col min="14850" max="14850" width="22.42578125" style="4" customWidth="1"/>
    <col min="14851" max="14851" width="12.140625" style="4" bestFit="1" customWidth="1"/>
    <col min="14852" max="14852" width="8.140625" style="4" customWidth="1"/>
    <col min="14853" max="14853" width="8.5703125" style="4" customWidth="1"/>
    <col min="14854" max="14854" width="17" style="4" bestFit="1" customWidth="1"/>
    <col min="14855" max="14855" width="16.7109375" style="4" bestFit="1" customWidth="1"/>
    <col min="14856" max="14856" width="18" style="4" bestFit="1" customWidth="1"/>
    <col min="14857" max="14857" width="17.7109375" style="4" bestFit="1" customWidth="1"/>
    <col min="14858" max="14858" width="13.5703125" style="4" customWidth="1"/>
    <col min="14859" max="14859" width="18.5703125" style="4" bestFit="1" customWidth="1"/>
    <col min="14860" max="14860" width="15.5703125" style="4" customWidth="1"/>
    <col min="14861" max="14861" width="13.5703125" style="4" customWidth="1"/>
    <col min="14862" max="15104" width="11.42578125" style="4"/>
    <col min="15105" max="15105" width="2.5703125" style="4" customWidth="1"/>
    <col min="15106" max="15106" width="22.42578125" style="4" customWidth="1"/>
    <col min="15107" max="15107" width="12.140625" style="4" bestFit="1" customWidth="1"/>
    <col min="15108" max="15108" width="8.140625" style="4" customWidth="1"/>
    <col min="15109" max="15109" width="8.5703125" style="4" customWidth="1"/>
    <col min="15110" max="15110" width="17" style="4" bestFit="1" customWidth="1"/>
    <col min="15111" max="15111" width="16.7109375" style="4" bestFit="1" customWidth="1"/>
    <col min="15112" max="15112" width="18" style="4" bestFit="1" customWidth="1"/>
    <col min="15113" max="15113" width="17.7109375" style="4" bestFit="1" customWidth="1"/>
    <col min="15114" max="15114" width="13.5703125" style="4" customWidth="1"/>
    <col min="15115" max="15115" width="18.5703125" style="4" bestFit="1" customWidth="1"/>
    <col min="15116" max="15116" width="15.5703125" style="4" customWidth="1"/>
    <col min="15117" max="15117" width="13.5703125" style="4" customWidth="1"/>
    <col min="15118" max="15360" width="11.42578125" style="4"/>
    <col min="15361" max="15361" width="2.5703125" style="4" customWidth="1"/>
    <col min="15362" max="15362" width="22.42578125" style="4" customWidth="1"/>
    <col min="15363" max="15363" width="12.140625" style="4" bestFit="1" customWidth="1"/>
    <col min="15364" max="15364" width="8.140625" style="4" customWidth="1"/>
    <col min="15365" max="15365" width="8.5703125" style="4" customWidth="1"/>
    <col min="15366" max="15366" width="17" style="4" bestFit="1" customWidth="1"/>
    <col min="15367" max="15367" width="16.7109375" style="4" bestFit="1" customWidth="1"/>
    <col min="15368" max="15368" width="18" style="4" bestFit="1" customWidth="1"/>
    <col min="15369" max="15369" width="17.7109375" style="4" bestFit="1" customWidth="1"/>
    <col min="15370" max="15370" width="13.5703125" style="4" customWidth="1"/>
    <col min="15371" max="15371" width="18.5703125" style="4" bestFit="1" customWidth="1"/>
    <col min="15372" max="15372" width="15.5703125" style="4" customWidth="1"/>
    <col min="15373" max="15373" width="13.5703125" style="4" customWidth="1"/>
    <col min="15374" max="15616" width="11.42578125" style="4"/>
    <col min="15617" max="15617" width="2.5703125" style="4" customWidth="1"/>
    <col min="15618" max="15618" width="22.42578125" style="4" customWidth="1"/>
    <col min="15619" max="15619" width="12.140625" style="4" bestFit="1" customWidth="1"/>
    <col min="15620" max="15620" width="8.140625" style="4" customWidth="1"/>
    <col min="15621" max="15621" width="8.5703125" style="4" customWidth="1"/>
    <col min="15622" max="15622" width="17" style="4" bestFit="1" customWidth="1"/>
    <col min="15623" max="15623" width="16.7109375" style="4" bestFit="1" customWidth="1"/>
    <col min="15624" max="15624" width="18" style="4" bestFit="1" customWidth="1"/>
    <col min="15625" max="15625" width="17.7109375" style="4" bestFit="1" customWidth="1"/>
    <col min="15626" max="15626" width="13.5703125" style="4" customWidth="1"/>
    <col min="15627" max="15627" width="18.5703125" style="4" bestFit="1" customWidth="1"/>
    <col min="15628" max="15628" width="15.5703125" style="4" customWidth="1"/>
    <col min="15629" max="15629" width="13.5703125" style="4" customWidth="1"/>
    <col min="15630" max="15872" width="11.42578125" style="4"/>
    <col min="15873" max="15873" width="2.5703125" style="4" customWidth="1"/>
    <col min="15874" max="15874" width="22.42578125" style="4" customWidth="1"/>
    <col min="15875" max="15875" width="12.140625" style="4" bestFit="1" customWidth="1"/>
    <col min="15876" max="15876" width="8.140625" style="4" customWidth="1"/>
    <col min="15877" max="15877" width="8.5703125" style="4" customWidth="1"/>
    <col min="15878" max="15878" width="17" style="4" bestFit="1" customWidth="1"/>
    <col min="15879" max="15879" width="16.7109375" style="4" bestFit="1" customWidth="1"/>
    <col min="15880" max="15880" width="18" style="4" bestFit="1" customWidth="1"/>
    <col min="15881" max="15881" width="17.7109375" style="4" bestFit="1" customWidth="1"/>
    <col min="15882" max="15882" width="13.5703125" style="4" customWidth="1"/>
    <col min="15883" max="15883" width="18.5703125" style="4" bestFit="1" customWidth="1"/>
    <col min="15884" max="15884" width="15.5703125" style="4" customWidth="1"/>
    <col min="15885" max="15885" width="13.5703125" style="4" customWidth="1"/>
    <col min="15886" max="16128" width="11.42578125" style="4"/>
    <col min="16129" max="16129" width="2.5703125" style="4" customWidth="1"/>
    <col min="16130" max="16130" width="22.42578125" style="4" customWidth="1"/>
    <col min="16131" max="16131" width="12.140625" style="4" bestFit="1" customWidth="1"/>
    <col min="16132" max="16132" width="8.140625" style="4" customWidth="1"/>
    <col min="16133" max="16133" width="8.5703125" style="4" customWidth="1"/>
    <col min="16134" max="16134" width="17" style="4" bestFit="1" customWidth="1"/>
    <col min="16135" max="16135" width="16.7109375" style="4" bestFit="1" customWidth="1"/>
    <col min="16136" max="16136" width="18" style="4" bestFit="1" customWidth="1"/>
    <col min="16137" max="16137" width="17.7109375" style="4" bestFit="1" customWidth="1"/>
    <col min="16138" max="16138" width="13.5703125" style="4" customWidth="1"/>
    <col min="16139" max="16139" width="18.5703125" style="4" bestFit="1" customWidth="1"/>
    <col min="16140" max="16140" width="15.5703125" style="4" customWidth="1"/>
    <col min="16141" max="16141" width="13.5703125" style="4" customWidth="1"/>
    <col min="16142" max="16384" width="11.42578125" style="4"/>
  </cols>
  <sheetData>
    <row r="1" spans="1:13" x14ac:dyDescent="0.2">
      <c r="A1" s="1" t="s">
        <v>0</v>
      </c>
      <c r="B1" s="1"/>
      <c r="C1" s="2"/>
      <c r="D1" s="2"/>
      <c r="E1" s="3"/>
    </row>
    <row r="2" spans="1:13" x14ac:dyDescent="0.2">
      <c r="A2" s="7"/>
      <c r="B2" s="6"/>
      <c r="C2" s="2"/>
      <c r="D2" s="2"/>
    </row>
    <row r="3" spans="1:13" x14ac:dyDescent="0.2">
      <c r="A3" s="6" t="s">
        <v>1</v>
      </c>
      <c r="B3" s="6"/>
      <c r="C3" s="2"/>
      <c r="D3" s="2"/>
    </row>
    <row r="4" spans="1:13" x14ac:dyDescent="0.2">
      <c r="A4" s="7" t="s">
        <v>81</v>
      </c>
      <c r="B4" s="6"/>
      <c r="C4" s="2"/>
      <c r="D4" s="2"/>
      <c r="M4" s="8"/>
    </row>
    <row r="5" spans="1:13" x14ac:dyDescent="0.2">
      <c r="A5" s="9" t="s">
        <v>3</v>
      </c>
      <c r="B5" s="9"/>
      <c r="C5" s="10" t="s">
        <v>4</v>
      </c>
      <c r="D5" s="75" t="s">
        <v>5</v>
      </c>
      <c r="E5" s="75"/>
      <c r="F5" s="10" t="s">
        <v>6</v>
      </c>
      <c r="G5" s="11" t="s">
        <v>7</v>
      </c>
      <c r="H5" s="11" t="s">
        <v>8</v>
      </c>
      <c r="I5" s="10" t="s">
        <v>9</v>
      </c>
      <c r="J5" s="10" t="s">
        <v>10</v>
      </c>
      <c r="K5" s="10" t="s">
        <v>10</v>
      </c>
      <c r="L5" s="10" t="s">
        <v>10</v>
      </c>
      <c r="M5" s="10" t="s">
        <v>10</v>
      </c>
    </row>
    <row r="6" spans="1:13" x14ac:dyDescent="0.2">
      <c r="C6" s="12" t="s">
        <v>11</v>
      </c>
      <c r="D6" s="13" t="s">
        <v>12</v>
      </c>
      <c r="E6" s="13" t="s">
        <v>13</v>
      </c>
      <c r="F6" s="12" t="s">
        <v>14</v>
      </c>
      <c r="G6" s="12" t="s">
        <v>15</v>
      </c>
      <c r="H6" s="13" t="s">
        <v>16</v>
      </c>
      <c r="I6" s="13" t="s">
        <v>17</v>
      </c>
      <c r="J6" s="13" t="s">
        <v>18</v>
      </c>
      <c r="K6" s="13" t="s">
        <v>19</v>
      </c>
      <c r="L6" s="14" t="s">
        <v>20</v>
      </c>
      <c r="M6" s="15" t="s">
        <v>21</v>
      </c>
    </row>
    <row r="7" spans="1:13" x14ac:dyDescent="0.2">
      <c r="A7" s="8"/>
      <c r="B7" s="8"/>
      <c r="C7" s="8"/>
      <c r="D7" s="8"/>
      <c r="E7" s="8"/>
      <c r="F7" s="16" t="s">
        <v>22</v>
      </c>
      <c r="G7" s="16" t="s">
        <v>11</v>
      </c>
      <c r="H7" s="16" t="s">
        <v>22</v>
      </c>
      <c r="I7" s="17"/>
      <c r="J7" s="8"/>
      <c r="K7" s="8"/>
      <c r="L7" s="8"/>
      <c r="M7" s="8"/>
    </row>
    <row r="8" spans="1:13" x14ac:dyDescent="0.2">
      <c r="F8" s="12"/>
      <c r="G8" s="18"/>
      <c r="H8" s="12"/>
      <c r="I8" s="13"/>
    </row>
    <row r="9" spans="1:13" x14ac:dyDescent="0.2">
      <c r="A9" s="76" t="s">
        <v>23</v>
      </c>
      <c r="B9" s="76"/>
      <c r="C9" s="4">
        <v>1961711</v>
      </c>
      <c r="D9" s="19">
        <v>0.92</v>
      </c>
      <c r="E9" s="19">
        <v>0.54</v>
      </c>
      <c r="F9" s="4">
        <v>3696144</v>
      </c>
      <c r="G9" s="4">
        <f>+J9+K9+L9+M9</f>
        <v>4298780</v>
      </c>
      <c r="H9" s="20">
        <f t="shared" ref="H9:H35" si="0">G9-F9</f>
        <v>602636</v>
      </c>
      <c r="I9" s="4">
        <v>246480</v>
      </c>
      <c r="J9" s="4">
        <v>0</v>
      </c>
      <c r="K9" s="4">
        <f>206657+909921+648553</f>
        <v>1765131</v>
      </c>
      <c r="L9" s="4">
        <v>0</v>
      </c>
      <c r="M9" s="4">
        <v>2533649</v>
      </c>
    </row>
    <row r="10" spans="1:13" x14ac:dyDescent="0.2">
      <c r="A10" s="76" t="s">
        <v>82</v>
      </c>
      <c r="B10" s="76"/>
      <c r="C10" s="4">
        <v>1574033</v>
      </c>
      <c r="D10" s="19">
        <v>0.11</v>
      </c>
      <c r="E10" s="19">
        <v>0.11</v>
      </c>
      <c r="F10" s="4">
        <v>1574033</v>
      </c>
      <c r="G10" s="4">
        <f>+J10+K10+L10+M10</f>
        <v>1758515</v>
      </c>
      <c r="H10" s="20">
        <f>G10-F10</f>
        <v>184482</v>
      </c>
      <c r="I10" s="4">
        <v>0</v>
      </c>
      <c r="J10" s="4">
        <v>0</v>
      </c>
      <c r="K10" s="4">
        <v>0</v>
      </c>
      <c r="L10" s="4">
        <v>0</v>
      </c>
      <c r="M10" s="4">
        <v>1758515</v>
      </c>
    </row>
    <row r="11" spans="1:13" s="20" customFormat="1" x14ac:dyDescent="0.2">
      <c r="A11" s="5" t="s">
        <v>25</v>
      </c>
      <c r="B11" s="7"/>
      <c r="C11" s="4">
        <v>10980950</v>
      </c>
      <c r="D11" s="19">
        <v>0.98</v>
      </c>
      <c r="E11" s="19">
        <v>0.33</v>
      </c>
      <c r="F11" s="4">
        <v>33556210</v>
      </c>
      <c r="G11" s="20">
        <f t="shared" ref="G11:G35" si="1">+J11+K11+L11+M11</f>
        <v>41103671</v>
      </c>
      <c r="H11" s="20">
        <f t="shared" si="0"/>
        <v>7547461</v>
      </c>
      <c r="I11" s="4">
        <v>12656444</v>
      </c>
      <c r="J11" s="4">
        <v>0</v>
      </c>
      <c r="K11" s="4">
        <f>2289454+19655884+623000</f>
        <v>22568338</v>
      </c>
      <c r="L11" s="4">
        <v>22845</v>
      </c>
      <c r="M11" s="4">
        <v>18512488</v>
      </c>
    </row>
    <row r="12" spans="1:13" s="20" customFormat="1" x14ac:dyDescent="0.2">
      <c r="A12" s="5" t="s">
        <v>26</v>
      </c>
      <c r="B12" s="5"/>
      <c r="C12" s="4">
        <v>3376644</v>
      </c>
      <c r="D12" s="19">
        <v>2.87</v>
      </c>
      <c r="E12" s="19">
        <v>0.73</v>
      </c>
      <c r="F12" s="4">
        <v>13626919</v>
      </c>
      <c r="G12" s="20">
        <f t="shared" si="1"/>
        <v>13796194</v>
      </c>
      <c r="H12" s="20">
        <f t="shared" si="0"/>
        <v>169275</v>
      </c>
      <c r="I12" s="4">
        <v>1705094</v>
      </c>
      <c r="J12" s="4">
        <v>0</v>
      </c>
      <c r="K12" s="4">
        <f>1664050+8218968+8541+381762</f>
        <v>10273321</v>
      </c>
      <c r="L12" s="4">
        <v>0</v>
      </c>
      <c r="M12" s="4">
        <v>3522873</v>
      </c>
    </row>
    <row r="13" spans="1:13" x14ac:dyDescent="0.2">
      <c r="A13" s="5" t="s">
        <v>27</v>
      </c>
      <c r="B13" s="5"/>
      <c r="C13" s="4">
        <v>4922498</v>
      </c>
      <c r="D13" s="19">
        <v>5.21</v>
      </c>
      <c r="E13" s="19">
        <v>0.09</v>
      </c>
      <c r="F13" s="4">
        <v>69033104</v>
      </c>
      <c r="G13" s="4">
        <f>+J13+K13+L13+M13</f>
        <v>76528046</v>
      </c>
      <c r="H13" s="20">
        <f>G13-F13</f>
        <v>7494942</v>
      </c>
      <c r="I13" s="4">
        <v>708470</v>
      </c>
      <c r="J13" s="4">
        <v>60878208</v>
      </c>
      <c r="K13" s="4">
        <f>313417+2918981+0</f>
        <v>3232398</v>
      </c>
      <c r="L13" s="4">
        <v>0</v>
      </c>
      <c r="M13" s="4">
        <v>12417440</v>
      </c>
    </row>
    <row r="14" spans="1:13" x14ac:dyDescent="0.2">
      <c r="A14" s="5" t="s">
        <v>28</v>
      </c>
      <c r="B14" s="5"/>
      <c r="C14" s="4">
        <v>5203178</v>
      </c>
      <c r="D14" s="19">
        <v>5.34</v>
      </c>
      <c r="E14" s="19">
        <v>0.8</v>
      </c>
      <c r="F14" s="4">
        <v>40986775</v>
      </c>
      <c r="G14" s="20">
        <f>+J14+K14+L14+M14</f>
        <v>44029311</v>
      </c>
      <c r="H14" s="20">
        <f>G14-F14</f>
        <v>3042536</v>
      </c>
      <c r="I14" s="4">
        <v>217302</v>
      </c>
      <c r="J14" s="4">
        <v>19450772</v>
      </c>
      <c r="K14" s="4">
        <f>2009343+6937518+415267+7289087</f>
        <v>16651215</v>
      </c>
      <c r="L14" s="4">
        <v>0</v>
      </c>
      <c r="M14" s="4">
        <v>7927324</v>
      </c>
    </row>
    <row r="15" spans="1:13" x14ac:dyDescent="0.2">
      <c r="A15" s="77" t="s">
        <v>83</v>
      </c>
      <c r="B15" s="78"/>
      <c r="C15" s="4">
        <v>27812751</v>
      </c>
      <c r="D15" s="19">
        <v>3.45</v>
      </c>
      <c r="E15" s="19">
        <v>0.14000000000000001</v>
      </c>
      <c r="F15" s="4">
        <v>411860018</v>
      </c>
      <c r="G15" s="4">
        <f>+J15+K15+L15+M15</f>
        <v>407664037</v>
      </c>
      <c r="H15" s="20">
        <f t="shared" si="0"/>
        <v>-4195981</v>
      </c>
      <c r="I15" s="4">
        <v>9801885</v>
      </c>
      <c r="J15" s="4">
        <v>378337594</v>
      </c>
      <c r="K15" s="4">
        <f>925244+4784429</f>
        <v>5709673</v>
      </c>
      <c r="L15" s="4">
        <v>0</v>
      </c>
      <c r="M15" s="4">
        <v>23616770</v>
      </c>
    </row>
    <row r="16" spans="1:13" s="20" customFormat="1" x14ac:dyDescent="0.2">
      <c r="A16" s="5" t="s">
        <v>30</v>
      </c>
      <c r="B16" s="7"/>
      <c r="C16" s="4">
        <v>3780198</v>
      </c>
      <c r="D16" s="19">
        <v>2.75</v>
      </c>
      <c r="E16" s="19">
        <v>0.6</v>
      </c>
      <c r="F16" s="4">
        <v>17308070</v>
      </c>
      <c r="G16" s="20">
        <f>+J16+K16+L16+M16</f>
        <v>17938715</v>
      </c>
      <c r="H16" s="20">
        <f t="shared" si="0"/>
        <v>630645</v>
      </c>
      <c r="I16" s="4">
        <v>203094</v>
      </c>
      <c r="J16" s="4">
        <v>0</v>
      </c>
      <c r="K16" s="4">
        <f>1560435+11967437</f>
        <v>13527872</v>
      </c>
      <c r="L16" s="4">
        <v>0</v>
      </c>
      <c r="M16" s="4">
        <v>4410843</v>
      </c>
    </row>
    <row r="17" spans="1:13" x14ac:dyDescent="0.2">
      <c r="A17" s="5" t="s">
        <v>31</v>
      </c>
      <c r="B17" s="7"/>
      <c r="C17" s="4">
        <v>40988917</v>
      </c>
      <c r="D17" s="19">
        <v>7.82</v>
      </c>
      <c r="E17" s="19">
        <v>0.33</v>
      </c>
      <c r="F17" s="4">
        <v>609391463</v>
      </c>
      <c r="G17" s="4">
        <f t="shared" si="1"/>
        <v>635872152</v>
      </c>
      <c r="H17" s="20">
        <f t="shared" si="0"/>
        <v>26480689</v>
      </c>
      <c r="I17" s="4">
        <v>3733763</v>
      </c>
      <c r="J17" s="4">
        <v>497206687</v>
      </c>
      <c r="K17" s="4">
        <f>10852169+30894854+5320440+24170051</f>
        <v>71237514</v>
      </c>
      <c r="L17" s="4">
        <v>247945</v>
      </c>
      <c r="M17" s="4">
        <v>67180006</v>
      </c>
    </row>
    <row r="18" spans="1:13" s="23" customFormat="1" x14ac:dyDescent="0.2">
      <c r="A18" s="5" t="s">
        <v>32</v>
      </c>
      <c r="B18" s="5"/>
      <c r="C18" s="20">
        <v>7144629</v>
      </c>
      <c r="D18" s="22">
        <v>5.62</v>
      </c>
      <c r="E18" s="22">
        <v>0.12</v>
      </c>
      <c r="F18" s="20">
        <v>97413798</v>
      </c>
      <c r="G18" s="20">
        <f t="shared" si="1"/>
        <v>106773834</v>
      </c>
      <c r="H18" s="20">
        <f t="shared" si="0"/>
        <v>9360036</v>
      </c>
      <c r="I18" s="20">
        <v>158420</v>
      </c>
      <c r="J18" s="20">
        <v>95504219</v>
      </c>
      <c r="K18" s="20">
        <f>2060381+1045655+1018950</f>
        <v>4124986</v>
      </c>
      <c r="L18" s="20">
        <v>0</v>
      </c>
      <c r="M18" s="20">
        <v>7144629</v>
      </c>
    </row>
    <row r="19" spans="1:13" x14ac:dyDescent="0.2">
      <c r="A19" s="5" t="s">
        <v>33</v>
      </c>
      <c r="B19" s="7"/>
      <c r="C19" s="4">
        <v>19250887</v>
      </c>
      <c r="D19" s="19">
        <v>5.5</v>
      </c>
      <c r="E19" s="19">
        <v>0.31</v>
      </c>
      <c r="F19" s="4">
        <v>292736399</v>
      </c>
      <c r="G19" s="4">
        <f>+J19+K19+L19+M19</f>
        <v>323209774</v>
      </c>
      <c r="H19" s="20">
        <f t="shared" si="0"/>
        <v>30473375</v>
      </c>
      <c r="I19" s="4">
        <v>76895</v>
      </c>
      <c r="J19" s="4">
        <v>271812441</v>
      </c>
      <c r="K19" s="4">
        <f>27121+1645950</f>
        <v>1673071</v>
      </c>
      <c r="L19" s="4">
        <v>0</v>
      </c>
      <c r="M19" s="4">
        <v>49724262</v>
      </c>
    </row>
    <row r="20" spans="1:13" x14ac:dyDescent="0.2">
      <c r="A20" s="5" t="s">
        <v>34</v>
      </c>
      <c r="B20" s="5"/>
      <c r="C20" s="4">
        <v>110217522</v>
      </c>
      <c r="D20" s="19">
        <v>7.05</v>
      </c>
      <c r="E20" s="19">
        <v>0.45</v>
      </c>
      <c r="F20" s="4">
        <v>1624300176</v>
      </c>
      <c r="G20" s="4">
        <f t="shared" si="1"/>
        <v>1743161072</v>
      </c>
      <c r="H20" s="20">
        <f t="shared" si="0"/>
        <v>118860896</v>
      </c>
      <c r="I20" s="4">
        <v>20129505</v>
      </c>
      <c r="J20" s="4">
        <v>1401044732</v>
      </c>
      <c r="K20" s="4">
        <f>1885803+42742497+16477902+44815771+0</f>
        <v>105921973</v>
      </c>
      <c r="L20" s="4">
        <v>257459</v>
      </c>
      <c r="M20" s="4">
        <v>235936908</v>
      </c>
    </row>
    <row r="21" spans="1:13" x14ac:dyDescent="0.2">
      <c r="A21" s="5" t="s">
        <v>35</v>
      </c>
      <c r="B21" s="5"/>
      <c r="C21" s="4">
        <v>55384186</v>
      </c>
      <c r="D21" s="19">
        <v>9.3000000000000007</v>
      </c>
      <c r="E21" s="19">
        <v>0.32</v>
      </c>
      <c r="F21" s="4">
        <v>839103163</v>
      </c>
      <c r="G21" s="4">
        <f t="shared" si="1"/>
        <v>865404898</v>
      </c>
      <c r="H21" s="20">
        <f t="shared" si="0"/>
        <v>26301735</v>
      </c>
      <c r="I21" s="4">
        <v>15592800</v>
      </c>
      <c r="J21" s="4">
        <v>777374347</v>
      </c>
      <c r="K21" s="4">
        <f>2072303+24905077+3320+5662093</f>
        <v>32642793</v>
      </c>
      <c r="L21" s="4">
        <v>3572</v>
      </c>
      <c r="M21" s="4">
        <v>55384186</v>
      </c>
    </row>
    <row r="22" spans="1:13" x14ac:dyDescent="0.2">
      <c r="A22" s="5" t="s">
        <v>36</v>
      </c>
      <c r="B22" s="5"/>
      <c r="C22" s="4">
        <v>20603828</v>
      </c>
      <c r="D22" s="19">
        <v>6.42</v>
      </c>
      <c r="E22" s="19">
        <v>0.2</v>
      </c>
      <c r="F22" s="4">
        <v>275781481</v>
      </c>
      <c r="G22" s="4">
        <f t="shared" si="1"/>
        <v>291642475</v>
      </c>
      <c r="H22" s="20">
        <f t="shared" si="0"/>
        <v>15860994</v>
      </c>
      <c r="I22" s="4">
        <v>8094453</v>
      </c>
      <c r="J22" s="4">
        <v>229642780</v>
      </c>
      <c r="K22" s="4">
        <f>2115936+8783937+12343182+3628854</f>
        <v>26871909</v>
      </c>
      <c r="L22" s="4">
        <v>100059</v>
      </c>
      <c r="M22" s="4">
        <v>35027727</v>
      </c>
    </row>
    <row r="23" spans="1:13" x14ac:dyDescent="0.2">
      <c r="A23" s="5" t="s">
        <v>37</v>
      </c>
      <c r="B23" s="5"/>
      <c r="C23" s="4">
        <v>23514130</v>
      </c>
      <c r="D23" s="19">
        <v>10.76</v>
      </c>
      <c r="E23" s="19">
        <v>0.8</v>
      </c>
      <c r="F23" s="4">
        <v>353531895</v>
      </c>
      <c r="G23" s="4">
        <f t="shared" si="1"/>
        <v>357446156</v>
      </c>
      <c r="H23" s="20">
        <f t="shared" si="0"/>
        <v>3914261</v>
      </c>
      <c r="I23" s="4">
        <v>1902261</v>
      </c>
      <c r="J23" s="4">
        <v>273567709</v>
      </c>
      <c r="K23" s="4">
        <f>2102919+13010645+19639973+23422726</f>
        <v>58176263</v>
      </c>
      <c r="L23" s="4">
        <v>412547</v>
      </c>
      <c r="M23" s="4">
        <v>25289637</v>
      </c>
    </row>
    <row r="24" spans="1:13" x14ac:dyDescent="0.2">
      <c r="A24" s="5" t="s">
        <v>38</v>
      </c>
      <c r="B24" s="5"/>
      <c r="C24" s="4">
        <v>1574033</v>
      </c>
      <c r="D24" s="19">
        <v>1.22</v>
      </c>
      <c r="E24" s="19">
        <v>0.06</v>
      </c>
      <c r="F24" s="4">
        <v>4707885</v>
      </c>
      <c r="G24" s="4">
        <f t="shared" si="1"/>
        <v>5233678</v>
      </c>
      <c r="H24" s="20">
        <f t="shared" si="0"/>
        <v>525793</v>
      </c>
      <c r="I24" s="4">
        <v>655742</v>
      </c>
      <c r="J24" s="4">
        <v>0</v>
      </c>
      <c r="K24" s="4">
        <f>223772+2910080</f>
        <v>3133852</v>
      </c>
      <c r="L24" s="4">
        <v>0</v>
      </c>
      <c r="M24" s="4">
        <v>2099826</v>
      </c>
    </row>
    <row r="25" spans="1:13" s="2" customFormat="1" x14ac:dyDescent="0.2">
      <c r="A25" s="5" t="s">
        <v>39</v>
      </c>
      <c r="B25" s="5"/>
      <c r="C25" s="4">
        <v>92106209</v>
      </c>
      <c r="D25" s="19">
        <v>9.68</v>
      </c>
      <c r="E25" s="19">
        <v>0.16</v>
      </c>
      <c r="F25" s="4">
        <v>1383986553</v>
      </c>
      <c r="G25" s="20">
        <f t="shared" si="1"/>
        <v>1398518012</v>
      </c>
      <c r="H25" s="20">
        <f t="shared" si="0"/>
        <v>14531459</v>
      </c>
      <c r="I25" s="4">
        <v>19474109</v>
      </c>
      <c r="J25" s="4">
        <v>1184142609</v>
      </c>
      <c r="K25" s="4">
        <f>4291284+51442771+10778645+32821128</f>
        <v>99333828</v>
      </c>
      <c r="L25" s="4">
        <v>227847</v>
      </c>
      <c r="M25" s="4">
        <v>114813728</v>
      </c>
    </row>
    <row r="26" spans="1:13" s="2" customFormat="1" x14ac:dyDescent="0.2">
      <c r="A26" s="5" t="s">
        <v>40</v>
      </c>
      <c r="B26" s="5"/>
      <c r="C26" s="4">
        <v>16987541</v>
      </c>
      <c r="D26" s="19">
        <v>3.94</v>
      </c>
      <c r="E26" s="19">
        <v>0.51</v>
      </c>
      <c r="F26" s="4">
        <v>131967568</v>
      </c>
      <c r="G26" s="20">
        <f t="shared" si="1"/>
        <v>143422282</v>
      </c>
      <c r="H26" s="20">
        <f>G26-F26</f>
        <v>11454714</v>
      </c>
      <c r="I26" s="4">
        <v>9494236</v>
      </c>
      <c r="J26" s="4">
        <v>44647863</v>
      </c>
      <c r="K26" s="4">
        <f>4047745+44681183+480263+32577687+0</f>
        <v>81786878</v>
      </c>
      <c r="L26" s="4">
        <v>0</v>
      </c>
      <c r="M26" s="4">
        <v>16987541</v>
      </c>
    </row>
    <row r="27" spans="1:13" x14ac:dyDescent="0.2">
      <c r="A27" s="5" t="s">
        <v>41</v>
      </c>
      <c r="B27" s="7"/>
      <c r="C27" s="4">
        <v>31202775</v>
      </c>
      <c r="D27" s="19">
        <v>11.04</v>
      </c>
      <c r="E27" s="19">
        <v>0.03</v>
      </c>
      <c r="F27" s="4">
        <v>497848502</v>
      </c>
      <c r="G27" s="4">
        <f t="shared" si="1"/>
        <v>507259055</v>
      </c>
      <c r="H27" s="20">
        <f>G27-F27</f>
        <v>9410553</v>
      </c>
      <c r="I27" s="4">
        <v>223555</v>
      </c>
      <c r="J27" s="4">
        <v>425082824</v>
      </c>
      <c r="K27" s="4">
        <v>41562903</v>
      </c>
      <c r="L27" s="4">
        <v>0</v>
      </c>
      <c r="M27" s="4">
        <v>40613328</v>
      </c>
    </row>
    <row r="28" spans="1:13" s="20" customFormat="1" x14ac:dyDescent="0.2">
      <c r="A28" s="5" t="s">
        <v>42</v>
      </c>
      <c r="B28" s="5"/>
      <c r="C28" s="4">
        <v>1574033</v>
      </c>
      <c r="D28" s="19">
        <v>3.96</v>
      </c>
      <c r="E28" s="19">
        <v>0.15</v>
      </c>
      <c r="F28" s="4">
        <v>16907070</v>
      </c>
      <c r="G28" s="20">
        <f t="shared" si="1"/>
        <v>18663562</v>
      </c>
      <c r="H28" s="20">
        <f t="shared" ref="H28:H34" si="2">G28-F28</f>
        <v>1756492</v>
      </c>
      <c r="I28" s="4">
        <v>46735</v>
      </c>
      <c r="J28" s="4">
        <v>14223459</v>
      </c>
      <c r="K28" s="4">
        <f>126584+657797+236993</f>
        <v>1021374</v>
      </c>
      <c r="L28" s="4">
        <v>95925</v>
      </c>
      <c r="M28" s="4">
        <v>3322804</v>
      </c>
    </row>
    <row r="29" spans="1:13" s="20" customFormat="1" x14ac:dyDescent="0.2">
      <c r="A29" s="5" t="s">
        <v>43</v>
      </c>
      <c r="B29" s="5"/>
      <c r="C29" s="4">
        <v>73351193</v>
      </c>
      <c r="D29" s="19">
        <v>8.7799999999999994</v>
      </c>
      <c r="E29" s="19">
        <v>0.23</v>
      </c>
      <c r="F29" s="4">
        <v>1048989088</v>
      </c>
      <c r="G29" s="20">
        <f t="shared" si="1"/>
        <v>1057488244</v>
      </c>
      <c r="H29" s="20">
        <f t="shared" si="2"/>
        <v>8499156</v>
      </c>
      <c r="I29" s="4">
        <v>10241932</v>
      </c>
      <c r="J29" s="4">
        <v>935922237</v>
      </c>
      <c r="K29" s="4">
        <f>6258419+10550730+941206+21762832</f>
        <v>39513187</v>
      </c>
      <c r="L29" s="4">
        <v>359311</v>
      </c>
      <c r="M29" s="4">
        <v>81693509</v>
      </c>
    </row>
    <row r="30" spans="1:13" x14ac:dyDescent="0.2">
      <c r="A30" s="5" t="s">
        <v>44</v>
      </c>
      <c r="B30" s="5"/>
      <c r="C30" s="4">
        <v>18823391</v>
      </c>
      <c r="D30" s="19">
        <v>11.12</v>
      </c>
      <c r="E30" s="19">
        <v>0.09</v>
      </c>
      <c r="F30" s="4">
        <v>294496248</v>
      </c>
      <c r="G30" s="4">
        <f t="shared" si="1"/>
        <v>298736413</v>
      </c>
      <c r="H30" s="20">
        <f t="shared" si="2"/>
        <v>4240165</v>
      </c>
      <c r="I30" s="4">
        <v>119560</v>
      </c>
      <c r="J30" s="4">
        <v>272252002</v>
      </c>
      <c r="K30" s="4">
        <f>249804+3169775+1276</f>
        <v>3420855</v>
      </c>
      <c r="L30" s="4">
        <v>0</v>
      </c>
      <c r="M30" s="4">
        <v>23063556</v>
      </c>
    </row>
    <row r="31" spans="1:13" s="20" customFormat="1" x14ac:dyDescent="0.2">
      <c r="A31" s="5" t="s">
        <v>45</v>
      </c>
      <c r="B31" s="7"/>
      <c r="C31" s="4">
        <v>35049138</v>
      </c>
      <c r="D31" s="19">
        <v>8.83</v>
      </c>
      <c r="E31" s="19">
        <v>0.18</v>
      </c>
      <c r="F31" s="4">
        <v>544574462</v>
      </c>
      <c r="G31" s="20">
        <f>+J31+K31+L31+M31</f>
        <v>553746398</v>
      </c>
      <c r="H31" s="20">
        <f>G31-F31</f>
        <v>9171936</v>
      </c>
      <c r="I31" s="4">
        <v>4776517</v>
      </c>
      <c r="J31" s="4">
        <v>497443232</v>
      </c>
      <c r="K31" s="4">
        <f>283119+1865596+11115067</f>
        <v>13263782</v>
      </c>
      <c r="L31" s="4">
        <v>141281</v>
      </c>
      <c r="M31" s="4">
        <v>42898103</v>
      </c>
    </row>
    <row r="32" spans="1:13" s="20" customFormat="1" x14ac:dyDescent="0.2">
      <c r="A32" s="5" t="s">
        <v>46</v>
      </c>
      <c r="B32" s="7"/>
      <c r="C32" s="4">
        <v>64801456</v>
      </c>
      <c r="D32" s="19">
        <v>12.82</v>
      </c>
      <c r="E32" s="19">
        <v>0.28999999999999998</v>
      </c>
      <c r="F32" s="4">
        <v>1010045182</v>
      </c>
      <c r="G32" s="20">
        <f t="shared" si="1"/>
        <v>1012834655</v>
      </c>
      <c r="H32" s="20">
        <f t="shared" si="2"/>
        <v>2789473</v>
      </c>
      <c r="I32" s="4">
        <v>9423688</v>
      </c>
      <c r="J32" s="4">
        <v>936747021</v>
      </c>
      <c r="K32" s="4">
        <f>1149104+4646045+1151189+1704183</f>
        <v>8650521</v>
      </c>
      <c r="L32" s="4">
        <v>0</v>
      </c>
      <c r="M32" s="4">
        <v>67437113</v>
      </c>
    </row>
    <row r="33" spans="1:13" x14ac:dyDescent="0.2">
      <c r="A33" s="5" t="s">
        <v>47</v>
      </c>
      <c r="B33" s="5"/>
      <c r="C33" s="4">
        <v>17307287</v>
      </c>
      <c r="D33" s="19">
        <v>8.5500000000000007</v>
      </c>
      <c r="E33" s="19">
        <v>0.19</v>
      </c>
      <c r="F33" s="4">
        <v>271376467</v>
      </c>
      <c r="G33" s="4">
        <f t="shared" si="1"/>
        <v>273599898</v>
      </c>
      <c r="H33" s="20">
        <f t="shared" si="2"/>
        <v>2223431</v>
      </c>
      <c r="I33" s="4">
        <v>11752190</v>
      </c>
      <c r="J33" s="4">
        <v>253040839</v>
      </c>
      <c r="K33" s="4">
        <f>624335+173602+238172</f>
        <v>1036109</v>
      </c>
      <c r="L33" s="4">
        <v>1487</v>
      </c>
      <c r="M33" s="4">
        <v>19521463</v>
      </c>
    </row>
    <row r="34" spans="1:13" s="20" customFormat="1" x14ac:dyDescent="0.2">
      <c r="A34" s="5" t="s">
        <v>84</v>
      </c>
      <c r="B34" s="5"/>
      <c r="C34" s="4">
        <v>6260889</v>
      </c>
      <c r="D34" s="19">
        <v>6.73</v>
      </c>
      <c r="E34" s="19">
        <v>0.48</v>
      </c>
      <c r="F34" s="4">
        <v>59536497</v>
      </c>
      <c r="G34" s="4">
        <f t="shared" si="1"/>
        <v>59705203</v>
      </c>
      <c r="H34" s="20">
        <f t="shared" si="2"/>
        <v>168706</v>
      </c>
      <c r="I34" s="4">
        <v>515133</v>
      </c>
      <c r="J34" s="4">
        <v>37457120</v>
      </c>
      <c r="K34" s="4">
        <f>1547605+3622390+7176622+3544730</f>
        <v>15891347</v>
      </c>
      <c r="L34" s="4">
        <v>557658</v>
      </c>
      <c r="M34" s="4">
        <v>5799078</v>
      </c>
    </row>
    <row r="35" spans="1:13" x14ac:dyDescent="0.2">
      <c r="A35" s="5" t="s">
        <v>49</v>
      </c>
      <c r="B35" s="5"/>
      <c r="C35" s="4">
        <v>52119778</v>
      </c>
      <c r="D35" s="19">
        <v>8.9</v>
      </c>
      <c r="E35" s="19">
        <v>7.0000000000000007E-2</v>
      </c>
      <c r="F35" s="4">
        <v>820236408</v>
      </c>
      <c r="G35" s="20">
        <f t="shared" si="1"/>
        <v>841117160</v>
      </c>
      <c r="H35" s="20">
        <f t="shared" si="0"/>
        <v>20880752</v>
      </c>
      <c r="I35" s="4">
        <v>7428375</v>
      </c>
      <c r="J35" s="4">
        <v>749766979</v>
      </c>
      <c r="K35" s="4">
        <f>773798+7283346+4318407+6608237</f>
        <v>18983788</v>
      </c>
      <c r="L35" s="4">
        <v>0</v>
      </c>
      <c r="M35" s="4">
        <v>72366393</v>
      </c>
    </row>
    <row r="36" spans="1:13" x14ac:dyDescent="0.2">
      <c r="A36" s="24" t="s">
        <v>50</v>
      </c>
      <c r="B36" s="24"/>
      <c r="C36" s="25">
        <f>SUM(C9:C35)</f>
        <v>747873785</v>
      </c>
      <c r="D36" s="26"/>
      <c r="E36" s="26"/>
      <c r="F36" s="25">
        <f t="shared" ref="F36:M36" si="3">SUM(F9:F35)</f>
        <v>10768571578</v>
      </c>
      <c r="G36" s="25">
        <f t="shared" si="3"/>
        <v>11100952190</v>
      </c>
      <c r="H36" s="25">
        <f t="shared" si="3"/>
        <v>332380612</v>
      </c>
      <c r="I36" s="25">
        <f t="shared" si="3"/>
        <v>149378638</v>
      </c>
      <c r="J36" s="25">
        <f t="shared" si="3"/>
        <v>9355545674</v>
      </c>
      <c r="K36" s="25">
        <f t="shared" si="3"/>
        <v>701974881</v>
      </c>
      <c r="L36" s="25">
        <f t="shared" si="3"/>
        <v>2427936</v>
      </c>
      <c r="M36" s="25">
        <f t="shared" si="3"/>
        <v>1041003699</v>
      </c>
    </row>
    <row r="37" spans="1:13" x14ac:dyDescent="0.2">
      <c r="A37" s="27"/>
      <c r="B37" s="27"/>
      <c r="D37" s="19"/>
      <c r="E37" s="19"/>
      <c r="M37" s="28"/>
    </row>
    <row r="38" spans="1:13" s="20" customFormat="1" x14ac:dyDescent="0.2">
      <c r="A38" s="5" t="s">
        <v>51</v>
      </c>
      <c r="B38" s="7"/>
      <c r="C38" s="4">
        <v>2725088</v>
      </c>
      <c r="D38" s="19">
        <v>2.25</v>
      </c>
      <c r="E38" s="19">
        <v>0.09</v>
      </c>
      <c r="F38" s="4">
        <v>41891525</v>
      </c>
      <c r="G38" s="4">
        <f>+J38+K38+L38+M38</f>
        <v>47442560</v>
      </c>
      <c r="H38" s="20">
        <f>G38-F38</f>
        <v>5551035</v>
      </c>
      <c r="I38" s="4">
        <v>9554365</v>
      </c>
      <c r="J38" s="4">
        <v>39063585</v>
      </c>
      <c r="K38" s="4">
        <f>85207+17645</f>
        <v>102852</v>
      </c>
      <c r="L38" s="4">
        <v>0</v>
      </c>
      <c r="M38" s="4">
        <v>8276123</v>
      </c>
    </row>
    <row r="39" spans="1:13" x14ac:dyDescent="0.2">
      <c r="A39" s="29" t="s">
        <v>52</v>
      </c>
      <c r="B39" s="29"/>
      <c r="C39" s="25">
        <f t="shared" ref="C39:H39" si="4">SUM(C38:C38)</f>
        <v>2725088</v>
      </c>
      <c r="D39" s="26"/>
      <c r="E39" s="26"/>
      <c r="F39" s="25">
        <f t="shared" si="4"/>
        <v>41891525</v>
      </c>
      <c r="G39" s="25">
        <f t="shared" si="4"/>
        <v>47442560</v>
      </c>
      <c r="H39" s="25">
        <f t="shared" si="4"/>
        <v>5551035</v>
      </c>
      <c r="I39" s="25">
        <f>SUM(I38:I38)</f>
        <v>9554365</v>
      </c>
      <c r="J39" s="25">
        <f>SUM(J38:J38)</f>
        <v>39063585</v>
      </c>
      <c r="K39" s="25">
        <f>SUM(K38:K38)</f>
        <v>102852</v>
      </c>
      <c r="L39" s="25">
        <f>SUM(L38:L38)</f>
        <v>0</v>
      </c>
      <c r="M39" s="25">
        <f>SUM(M38:M38)</f>
        <v>8276123</v>
      </c>
    </row>
    <row r="40" spans="1:13" x14ac:dyDescent="0.2">
      <c r="D40" s="19"/>
      <c r="E40" s="19"/>
      <c r="I40" s="20"/>
      <c r="J40" s="20"/>
      <c r="K40" s="20"/>
      <c r="M40" s="28"/>
    </row>
    <row r="41" spans="1:13" x14ac:dyDescent="0.2">
      <c r="A41" s="30" t="s">
        <v>12</v>
      </c>
      <c r="B41" s="30"/>
      <c r="C41" s="8">
        <f>C36+C39</f>
        <v>750598873</v>
      </c>
      <c r="D41" s="31"/>
      <c r="E41" s="31"/>
      <c r="F41" s="8">
        <f t="shared" ref="F41:M41" si="5">F36+F39</f>
        <v>10810463103</v>
      </c>
      <c r="G41" s="8">
        <f t="shared" si="5"/>
        <v>11148394750</v>
      </c>
      <c r="H41" s="8">
        <f t="shared" si="5"/>
        <v>337931647</v>
      </c>
      <c r="I41" s="8">
        <f t="shared" si="5"/>
        <v>158933003</v>
      </c>
      <c r="J41" s="32">
        <f t="shared" si="5"/>
        <v>9394609259</v>
      </c>
      <c r="K41" s="32">
        <f t="shared" si="5"/>
        <v>702077733</v>
      </c>
      <c r="L41" s="8">
        <f t="shared" si="5"/>
        <v>2427936</v>
      </c>
      <c r="M41" s="8">
        <f t="shared" si="5"/>
        <v>1049279822</v>
      </c>
    </row>
    <row r="42" spans="1:13" ht="9.75" customHeight="1" x14ac:dyDescent="0.2">
      <c r="A42" s="33"/>
      <c r="B42" s="33"/>
      <c r="C42" s="79"/>
      <c r="D42" s="80"/>
      <c r="E42" s="80"/>
      <c r="F42" s="80"/>
      <c r="G42" s="80"/>
      <c r="H42" s="80"/>
      <c r="I42" s="80"/>
      <c r="J42" s="80"/>
      <c r="K42" s="80"/>
      <c r="L42" s="80"/>
      <c r="M42" s="80"/>
    </row>
    <row r="43" spans="1:13" ht="26.25" customHeight="1" x14ac:dyDescent="0.2">
      <c r="A43" s="34" t="s">
        <v>53</v>
      </c>
      <c r="B43" s="81" t="s">
        <v>85</v>
      </c>
      <c r="C43" s="81"/>
      <c r="D43" s="81"/>
      <c r="E43" s="81"/>
      <c r="F43" s="81"/>
      <c r="G43" s="81"/>
      <c r="H43" s="81"/>
      <c r="I43" s="81"/>
      <c r="J43" s="81"/>
      <c r="K43" s="81"/>
      <c r="L43" s="81"/>
      <c r="M43" s="78"/>
    </row>
    <row r="44" spans="1:13" ht="12.75" customHeight="1" x14ac:dyDescent="0.2">
      <c r="A44" s="61"/>
      <c r="B44" s="81" t="s">
        <v>86</v>
      </c>
      <c r="C44" s="81"/>
      <c r="D44" s="81"/>
      <c r="E44" s="81"/>
      <c r="F44" s="81"/>
      <c r="G44" s="81"/>
      <c r="H44" s="81"/>
      <c r="I44" s="81"/>
      <c r="J44" s="81"/>
      <c r="K44" s="81"/>
      <c r="L44" s="81"/>
      <c r="M44" s="82"/>
    </row>
    <row r="45" spans="1:13" ht="12.75" customHeight="1" x14ac:dyDescent="0.2">
      <c r="A45" s="61"/>
      <c r="B45" s="81"/>
      <c r="C45" s="81"/>
      <c r="D45" s="81"/>
      <c r="E45" s="81"/>
      <c r="F45" s="81"/>
      <c r="G45" s="81"/>
      <c r="H45" s="81"/>
      <c r="I45" s="81"/>
      <c r="J45" s="81"/>
      <c r="K45" s="81"/>
      <c r="L45" s="81"/>
      <c r="M45" s="82"/>
    </row>
    <row r="46" spans="1:13" x14ac:dyDescent="0.2">
      <c r="A46" s="61"/>
      <c r="B46" s="61"/>
      <c r="D46" s="19"/>
      <c r="E46" s="19"/>
    </row>
    <row r="47" spans="1:13" x14ac:dyDescent="0.2">
      <c r="A47" s="61"/>
      <c r="B47" s="61"/>
      <c r="D47" s="19"/>
      <c r="E47" s="19"/>
    </row>
    <row r="48" spans="1:13" x14ac:dyDescent="0.2">
      <c r="A48" s="28"/>
      <c r="B48" s="76"/>
      <c r="C48" s="76"/>
      <c r="D48" s="19"/>
      <c r="E48" s="19"/>
    </row>
    <row r="49" spans="1:11" x14ac:dyDescent="0.2">
      <c r="A49" s="37" t="s">
        <v>55</v>
      </c>
      <c r="B49" s="35"/>
      <c r="C49" s="35"/>
      <c r="D49" s="35"/>
      <c r="E49" s="35"/>
      <c r="F49" s="35"/>
      <c r="G49" s="35"/>
      <c r="H49" s="35"/>
      <c r="I49" s="35"/>
      <c r="J49" s="35"/>
      <c r="K49" s="35"/>
    </row>
    <row r="50" spans="1:11" x14ac:dyDescent="0.2">
      <c r="A50" s="38" t="s">
        <v>81</v>
      </c>
      <c r="B50" s="35"/>
      <c r="C50" s="35"/>
      <c r="D50" s="35"/>
      <c r="E50" s="35"/>
      <c r="F50" s="35"/>
      <c r="G50" s="35"/>
      <c r="H50" s="35"/>
      <c r="I50" s="35"/>
      <c r="J50" s="35"/>
      <c r="K50" s="35"/>
    </row>
    <row r="51" spans="1:11" x14ac:dyDescent="0.2">
      <c r="A51" s="35"/>
      <c r="B51" s="35"/>
      <c r="C51" s="35"/>
      <c r="D51" s="35"/>
      <c r="E51" s="35"/>
      <c r="F51" s="35"/>
      <c r="G51" s="35"/>
      <c r="H51" s="35"/>
      <c r="I51" s="35"/>
      <c r="J51" s="35"/>
      <c r="K51" s="35"/>
    </row>
    <row r="52" spans="1:11" x14ac:dyDescent="0.2">
      <c r="A52" s="35" t="s">
        <v>56</v>
      </c>
      <c r="B52" s="35"/>
      <c r="C52" s="35"/>
      <c r="D52" s="35"/>
      <c r="E52" s="35"/>
      <c r="F52" s="35"/>
      <c r="G52" s="35"/>
      <c r="H52" s="35"/>
      <c r="I52" s="35"/>
      <c r="J52" s="35"/>
      <c r="K52" s="35"/>
    </row>
    <row r="53" spans="1:11" x14ac:dyDescent="0.2">
      <c r="A53" s="9" t="s">
        <v>3</v>
      </c>
      <c r="B53" s="39"/>
      <c r="C53" s="39"/>
      <c r="D53" s="24" t="s">
        <v>57</v>
      </c>
      <c r="E53" s="40"/>
      <c r="F53" s="41" t="s">
        <v>58</v>
      </c>
      <c r="G53" s="41" t="s">
        <v>10</v>
      </c>
      <c r="H53" s="42" t="s">
        <v>59</v>
      </c>
      <c r="I53" s="41" t="s">
        <v>58</v>
      </c>
      <c r="J53" s="41" t="s">
        <v>10</v>
      </c>
      <c r="K53" s="42" t="s">
        <v>59</v>
      </c>
    </row>
    <row r="54" spans="1:11" x14ac:dyDescent="0.2">
      <c r="A54" s="43"/>
      <c r="B54" s="43"/>
      <c r="C54" s="43"/>
      <c r="D54" s="13" t="s">
        <v>12</v>
      </c>
      <c r="E54" s="13" t="s">
        <v>13</v>
      </c>
      <c r="F54" s="44" t="s">
        <v>60</v>
      </c>
      <c r="G54" s="44" t="s">
        <v>61</v>
      </c>
      <c r="H54" s="44" t="s">
        <v>62</v>
      </c>
      <c r="I54" s="44" t="s">
        <v>63</v>
      </c>
      <c r="J54" s="44" t="s">
        <v>61</v>
      </c>
      <c r="K54" s="44" t="s">
        <v>62</v>
      </c>
    </row>
    <row r="55" spans="1:11" x14ac:dyDescent="0.2">
      <c r="A55" s="45"/>
      <c r="B55" s="45"/>
      <c r="C55" s="45"/>
      <c r="D55" s="45"/>
      <c r="E55" s="45"/>
      <c r="F55" s="46" t="s">
        <v>64</v>
      </c>
      <c r="G55" s="46" t="s">
        <v>65</v>
      </c>
      <c r="H55" s="46" t="s">
        <v>65</v>
      </c>
      <c r="I55" s="46" t="s">
        <v>4</v>
      </c>
      <c r="J55" s="47" t="s">
        <v>66</v>
      </c>
      <c r="K55" s="47" t="s">
        <v>66</v>
      </c>
    </row>
    <row r="56" spans="1:11" x14ac:dyDescent="0.2">
      <c r="A56" s="43"/>
      <c r="B56" s="43"/>
      <c r="C56" s="43"/>
      <c r="D56" s="48"/>
      <c r="E56" s="48"/>
      <c r="F56" s="49"/>
      <c r="G56" s="49"/>
      <c r="H56" s="49"/>
      <c r="I56" s="49"/>
      <c r="J56" s="18"/>
      <c r="K56" s="18"/>
    </row>
    <row r="57" spans="1:11" x14ac:dyDescent="0.2">
      <c r="A57" s="50" t="s">
        <v>67</v>
      </c>
      <c r="B57" s="51"/>
      <c r="C57" s="51"/>
      <c r="D57" s="52">
        <v>1.03</v>
      </c>
      <c r="E57" s="53">
        <v>2E-3</v>
      </c>
      <c r="F57" s="54">
        <v>55325885</v>
      </c>
      <c r="G57" s="54">
        <f>54005860+1320025</f>
        <v>55325885</v>
      </c>
      <c r="H57" s="54">
        <f>G57-F57</f>
        <v>0</v>
      </c>
      <c r="I57" s="54">
        <v>53705502</v>
      </c>
      <c r="J57" s="54">
        <v>53781098</v>
      </c>
      <c r="K57" s="54">
        <f>J57-I57</f>
        <v>75596</v>
      </c>
    </row>
    <row r="58" spans="1:11" x14ac:dyDescent="0.2">
      <c r="A58" s="55" t="s">
        <v>87</v>
      </c>
      <c r="B58" s="51"/>
      <c r="C58" s="51"/>
      <c r="D58" s="52">
        <v>0.47</v>
      </c>
      <c r="E58" s="52">
        <v>0.02</v>
      </c>
      <c r="F58" s="54">
        <v>15671478</v>
      </c>
      <c r="G58" s="54">
        <f>432445+9567602+5671431</f>
        <v>15671478</v>
      </c>
      <c r="H58" s="54">
        <f>G58-F58</f>
        <v>0</v>
      </c>
      <c r="I58" s="54">
        <v>34518884</v>
      </c>
      <c r="J58" s="54">
        <v>35060771</v>
      </c>
      <c r="K58" s="54">
        <f>J58-I58</f>
        <v>541887</v>
      </c>
    </row>
    <row r="59" spans="1:11" x14ac:dyDescent="0.2">
      <c r="A59" s="43"/>
      <c r="B59" s="43"/>
      <c r="C59" s="43"/>
      <c r="D59" s="56"/>
      <c r="E59" s="48"/>
      <c r="F59" s="54"/>
      <c r="G59" s="54"/>
      <c r="H59" s="54"/>
      <c r="I59" s="54"/>
      <c r="J59" s="54"/>
      <c r="K59" s="54"/>
    </row>
    <row r="60" spans="1:11" x14ac:dyDescent="0.2">
      <c r="A60" s="35"/>
      <c r="B60" s="35"/>
      <c r="C60" s="35"/>
      <c r="D60" s="57"/>
      <c r="E60" s="57"/>
      <c r="F60" s="58"/>
      <c r="G60" s="58"/>
      <c r="H60" s="58"/>
      <c r="I60" s="58"/>
      <c r="J60" s="58"/>
      <c r="K60" s="58"/>
    </row>
    <row r="61" spans="1:11" x14ac:dyDescent="0.2">
      <c r="A61" s="36" t="s">
        <v>69</v>
      </c>
      <c r="B61" s="35"/>
      <c r="C61" s="35"/>
      <c r="D61" s="57"/>
      <c r="E61" s="57"/>
      <c r="F61" s="58"/>
      <c r="G61" s="58"/>
      <c r="H61" s="58"/>
      <c r="I61" s="58"/>
      <c r="J61" s="58"/>
      <c r="K61" s="58"/>
    </row>
    <row r="62" spans="1:11" x14ac:dyDescent="0.2">
      <c r="A62" s="9" t="s">
        <v>3</v>
      </c>
      <c r="B62" s="39"/>
      <c r="C62" s="39"/>
      <c r="D62" s="24" t="s">
        <v>57</v>
      </c>
      <c r="E62" s="59"/>
      <c r="F62" s="11" t="s">
        <v>88</v>
      </c>
      <c r="G62" s="11" t="s">
        <v>88</v>
      </c>
      <c r="H62" s="10" t="s">
        <v>89</v>
      </c>
      <c r="I62" s="10" t="s">
        <v>70</v>
      </c>
      <c r="J62" s="54"/>
      <c r="K62" s="54"/>
    </row>
    <row r="63" spans="1:11" x14ac:dyDescent="0.2">
      <c r="A63" s="43"/>
      <c r="B63" s="43"/>
      <c r="C63" s="43"/>
      <c r="D63" s="13" t="s">
        <v>12</v>
      </c>
      <c r="E63" s="13" t="s">
        <v>13</v>
      </c>
      <c r="F63" s="12" t="s">
        <v>71</v>
      </c>
      <c r="G63" s="12" t="s">
        <v>71</v>
      </c>
      <c r="H63" s="13" t="s">
        <v>72</v>
      </c>
      <c r="I63" s="13" t="s">
        <v>62</v>
      </c>
      <c r="J63" s="54"/>
      <c r="K63" s="54"/>
    </row>
    <row r="64" spans="1:11" x14ac:dyDescent="0.2">
      <c r="A64" s="43"/>
      <c r="B64" s="43"/>
      <c r="C64" s="43"/>
      <c r="D64" s="48"/>
      <c r="E64" s="48"/>
      <c r="F64" s="12" t="s">
        <v>73</v>
      </c>
      <c r="G64" s="13" t="s">
        <v>74</v>
      </c>
      <c r="H64" s="12" t="s">
        <v>75</v>
      </c>
      <c r="I64" s="13" t="s">
        <v>76</v>
      </c>
      <c r="J64" s="54"/>
      <c r="K64" s="54"/>
    </row>
    <row r="65" spans="1:11" x14ac:dyDescent="0.2">
      <c r="A65" s="45"/>
      <c r="B65" s="45"/>
      <c r="C65" s="45"/>
      <c r="D65" s="60"/>
      <c r="E65" s="60"/>
      <c r="F65" s="17" t="s">
        <v>77</v>
      </c>
      <c r="G65" s="17" t="s">
        <v>78</v>
      </c>
      <c r="H65" s="17" t="s">
        <v>79</v>
      </c>
      <c r="I65" s="17" t="s">
        <v>79</v>
      </c>
      <c r="J65" s="54"/>
      <c r="K65" s="54"/>
    </row>
    <row r="66" spans="1:11" x14ac:dyDescent="0.2">
      <c r="A66" s="43"/>
      <c r="B66" s="43"/>
      <c r="C66" s="35"/>
      <c r="D66" s="57"/>
      <c r="E66" s="57"/>
      <c r="F66" s="58"/>
      <c r="G66" s="58"/>
      <c r="H66" s="58"/>
      <c r="I66" s="58"/>
      <c r="J66" s="58"/>
      <c r="K66" s="58"/>
    </row>
    <row r="67" spans="1:11" x14ac:dyDescent="0.2">
      <c r="A67" s="51" t="s">
        <v>80</v>
      </c>
      <c r="B67" s="43"/>
      <c r="C67" s="43"/>
      <c r="D67" s="52">
        <v>1.88</v>
      </c>
      <c r="E67" s="53">
        <v>1.0999999999999999E-2</v>
      </c>
      <c r="F67" s="54">
        <v>50410384</v>
      </c>
      <c r="G67" s="54">
        <v>30941488</v>
      </c>
      <c r="H67" s="54">
        <v>81518815</v>
      </c>
      <c r="I67" s="54">
        <f>+H67-G67-F67</f>
        <v>166943</v>
      </c>
      <c r="J67" s="54"/>
      <c r="K67" s="54"/>
    </row>
    <row r="68" spans="1:11" x14ac:dyDescent="0.2">
      <c r="A68" s="35"/>
      <c r="B68" s="35"/>
      <c r="C68" s="35"/>
      <c r="D68" s="57"/>
      <c r="E68" s="57"/>
      <c r="F68" s="58"/>
      <c r="G68" s="58"/>
      <c r="H68" s="58"/>
      <c r="I68" s="58"/>
      <c r="J68" s="58"/>
      <c r="K68" s="58"/>
    </row>
  </sheetData>
  <mergeCells count="9">
    <mergeCell ref="B44:M44"/>
    <mergeCell ref="B45:M45"/>
    <mergeCell ref="B48:C48"/>
    <mergeCell ref="D5:E5"/>
    <mergeCell ref="A9:B9"/>
    <mergeCell ref="A10:B10"/>
    <mergeCell ref="A15:B15"/>
    <mergeCell ref="C42:M42"/>
    <mergeCell ref="B43:M4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65"/>
  <sheetViews>
    <sheetView workbookViewId="0"/>
  </sheetViews>
  <sheetFormatPr baseColWidth="10" defaultRowHeight="12.75" x14ac:dyDescent="0.2"/>
  <cols>
    <col min="1" max="1" width="2.5703125" style="4" customWidth="1"/>
    <col min="2" max="2" width="22.42578125" style="4" customWidth="1"/>
    <col min="3" max="3" width="12.140625" style="4" bestFit="1" customWidth="1"/>
    <col min="4" max="4" width="8.140625" style="4" customWidth="1"/>
    <col min="5" max="5" width="8.5703125" style="4" customWidth="1"/>
    <col min="6" max="6" width="17" style="4" bestFit="1" customWidth="1"/>
    <col min="7" max="7" width="16.7109375" style="4" bestFit="1" customWidth="1"/>
    <col min="8" max="8" width="18" style="4" bestFit="1" customWidth="1"/>
    <col min="9" max="9" width="17.7109375" style="4" bestFit="1" customWidth="1"/>
    <col min="10" max="10" width="13.5703125" style="4" customWidth="1"/>
    <col min="11" max="11" width="18.5703125" style="4" bestFit="1" customWidth="1"/>
    <col min="12" max="12" width="15.5703125" style="4" customWidth="1"/>
    <col min="13" max="13" width="13.5703125" style="4" customWidth="1"/>
    <col min="14" max="256" width="11.42578125" style="4"/>
    <col min="257" max="257" width="2.5703125" style="4" customWidth="1"/>
    <col min="258" max="258" width="22.42578125" style="4" customWidth="1"/>
    <col min="259" max="259" width="12.140625" style="4" bestFit="1" customWidth="1"/>
    <col min="260" max="260" width="8.140625" style="4" customWidth="1"/>
    <col min="261" max="261" width="8.5703125" style="4" customWidth="1"/>
    <col min="262" max="262" width="17" style="4" bestFit="1" customWidth="1"/>
    <col min="263" max="263" width="16.7109375" style="4" bestFit="1" customWidth="1"/>
    <col min="264" max="264" width="18" style="4" bestFit="1" customWidth="1"/>
    <col min="265" max="265" width="17.7109375" style="4" bestFit="1" customWidth="1"/>
    <col min="266" max="266" width="13.5703125" style="4" customWidth="1"/>
    <col min="267" max="267" width="18.5703125" style="4" bestFit="1" customWidth="1"/>
    <col min="268" max="268" width="15.5703125" style="4" customWidth="1"/>
    <col min="269" max="269" width="13.5703125" style="4" customWidth="1"/>
    <col min="270" max="512" width="11.42578125" style="4"/>
    <col min="513" max="513" width="2.5703125" style="4" customWidth="1"/>
    <col min="514" max="514" width="22.42578125" style="4" customWidth="1"/>
    <col min="515" max="515" width="12.140625" style="4" bestFit="1" customWidth="1"/>
    <col min="516" max="516" width="8.140625" style="4" customWidth="1"/>
    <col min="517" max="517" width="8.5703125" style="4" customWidth="1"/>
    <col min="518" max="518" width="17" style="4" bestFit="1" customWidth="1"/>
    <col min="519" max="519" width="16.7109375" style="4" bestFit="1" customWidth="1"/>
    <col min="520" max="520" width="18" style="4" bestFit="1" customWidth="1"/>
    <col min="521" max="521" width="17.7109375" style="4" bestFit="1" customWidth="1"/>
    <col min="522" max="522" width="13.5703125" style="4" customWidth="1"/>
    <col min="523" max="523" width="18.5703125" style="4" bestFit="1" customWidth="1"/>
    <col min="524" max="524" width="15.5703125" style="4" customWidth="1"/>
    <col min="525" max="525" width="13.5703125" style="4" customWidth="1"/>
    <col min="526" max="768" width="11.42578125" style="4"/>
    <col min="769" max="769" width="2.5703125" style="4" customWidth="1"/>
    <col min="770" max="770" width="22.42578125" style="4" customWidth="1"/>
    <col min="771" max="771" width="12.140625" style="4" bestFit="1" customWidth="1"/>
    <col min="772" max="772" width="8.140625" style="4" customWidth="1"/>
    <col min="773" max="773" width="8.5703125" style="4" customWidth="1"/>
    <col min="774" max="774" width="17" style="4" bestFit="1" customWidth="1"/>
    <col min="775" max="775" width="16.7109375" style="4" bestFit="1" customWidth="1"/>
    <col min="776" max="776" width="18" style="4" bestFit="1" customWidth="1"/>
    <col min="777" max="777" width="17.7109375" style="4" bestFit="1" customWidth="1"/>
    <col min="778" max="778" width="13.5703125" style="4" customWidth="1"/>
    <col min="779" max="779" width="18.5703125" style="4" bestFit="1" customWidth="1"/>
    <col min="780" max="780" width="15.5703125" style="4" customWidth="1"/>
    <col min="781" max="781" width="13.5703125" style="4" customWidth="1"/>
    <col min="782" max="1024" width="11.42578125" style="4"/>
    <col min="1025" max="1025" width="2.5703125" style="4" customWidth="1"/>
    <col min="1026" max="1026" width="22.42578125" style="4" customWidth="1"/>
    <col min="1027" max="1027" width="12.140625" style="4" bestFit="1" customWidth="1"/>
    <col min="1028" max="1028" width="8.140625" style="4" customWidth="1"/>
    <col min="1029" max="1029" width="8.5703125" style="4" customWidth="1"/>
    <col min="1030" max="1030" width="17" style="4" bestFit="1" customWidth="1"/>
    <col min="1031" max="1031" width="16.7109375" style="4" bestFit="1" customWidth="1"/>
    <col min="1032" max="1032" width="18" style="4" bestFit="1" customWidth="1"/>
    <col min="1033" max="1033" width="17.7109375" style="4" bestFit="1" customWidth="1"/>
    <col min="1034" max="1034" width="13.5703125" style="4" customWidth="1"/>
    <col min="1035" max="1035" width="18.5703125" style="4" bestFit="1" customWidth="1"/>
    <col min="1036" max="1036" width="15.5703125" style="4" customWidth="1"/>
    <col min="1037" max="1037" width="13.5703125" style="4" customWidth="1"/>
    <col min="1038" max="1280" width="11.42578125" style="4"/>
    <col min="1281" max="1281" width="2.5703125" style="4" customWidth="1"/>
    <col min="1282" max="1282" width="22.42578125" style="4" customWidth="1"/>
    <col min="1283" max="1283" width="12.140625" style="4" bestFit="1" customWidth="1"/>
    <col min="1284" max="1284" width="8.140625" style="4" customWidth="1"/>
    <col min="1285" max="1285" width="8.5703125" style="4" customWidth="1"/>
    <col min="1286" max="1286" width="17" style="4" bestFit="1" customWidth="1"/>
    <col min="1287" max="1287" width="16.7109375" style="4" bestFit="1" customWidth="1"/>
    <col min="1288" max="1288" width="18" style="4" bestFit="1" customWidth="1"/>
    <col min="1289" max="1289" width="17.7109375" style="4" bestFit="1" customWidth="1"/>
    <col min="1290" max="1290" width="13.5703125" style="4" customWidth="1"/>
    <col min="1291" max="1291" width="18.5703125" style="4" bestFit="1" customWidth="1"/>
    <col min="1292" max="1292" width="15.5703125" style="4" customWidth="1"/>
    <col min="1293" max="1293" width="13.5703125" style="4" customWidth="1"/>
    <col min="1294" max="1536" width="11.42578125" style="4"/>
    <col min="1537" max="1537" width="2.5703125" style="4" customWidth="1"/>
    <col min="1538" max="1538" width="22.42578125" style="4" customWidth="1"/>
    <col min="1539" max="1539" width="12.140625" style="4" bestFit="1" customWidth="1"/>
    <col min="1540" max="1540" width="8.140625" style="4" customWidth="1"/>
    <col min="1541" max="1541" width="8.5703125" style="4" customWidth="1"/>
    <col min="1542" max="1542" width="17" style="4" bestFit="1" customWidth="1"/>
    <col min="1543" max="1543" width="16.7109375" style="4" bestFit="1" customWidth="1"/>
    <col min="1544" max="1544" width="18" style="4" bestFit="1" customWidth="1"/>
    <col min="1545" max="1545" width="17.7109375" style="4" bestFit="1" customWidth="1"/>
    <col min="1546" max="1546" width="13.5703125" style="4" customWidth="1"/>
    <col min="1547" max="1547" width="18.5703125" style="4" bestFit="1" customWidth="1"/>
    <col min="1548" max="1548" width="15.5703125" style="4" customWidth="1"/>
    <col min="1549" max="1549" width="13.5703125" style="4" customWidth="1"/>
    <col min="1550" max="1792" width="11.42578125" style="4"/>
    <col min="1793" max="1793" width="2.5703125" style="4" customWidth="1"/>
    <col min="1794" max="1794" width="22.42578125" style="4" customWidth="1"/>
    <col min="1795" max="1795" width="12.140625" style="4" bestFit="1" customWidth="1"/>
    <col min="1796" max="1796" width="8.140625" style="4" customWidth="1"/>
    <col min="1797" max="1797" width="8.5703125" style="4" customWidth="1"/>
    <col min="1798" max="1798" width="17" style="4" bestFit="1" customWidth="1"/>
    <col min="1799" max="1799" width="16.7109375" style="4" bestFit="1" customWidth="1"/>
    <col min="1800" max="1800" width="18" style="4" bestFit="1" customWidth="1"/>
    <col min="1801" max="1801" width="17.7109375" style="4" bestFit="1" customWidth="1"/>
    <col min="1802" max="1802" width="13.5703125" style="4" customWidth="1"/>
    <col min="1803" max="1803" width="18.5703125" style="4" bestFit="1" customWidth="1"/>
    <col min="1804" max="1804" width="15.5703125" style="4" customWidth="1"/>
    <col min="1805" max="1805" width="13.5703125" style="4" customWidth="1"/>
    <col min="1806" max="2048" width="11.42578125" style="4"/>
    <col min="2049" max="2049" width="2.5703125" style="4" customWidth="1"/>
    <col min="2050" max="2050" width="22.42578125" style="4" customWidth="1"/>
    <col min="2051" max="2051" width="12.140625" style="4" bestFit="1" customWidth="1"/>
    <col min="2052" max="2052" width="8.140625" style="4" customWidth="1"/>
    <col min="2053" max="2053" width="8.5703125" style="4" customWidth="1"/>
    <col min="2054" max="2054" width="17" style="4" bestFit="1" customWidth="1"/>
    <col min="2055" max="2055" width="16.7109375" style="4" bestFit="1" customWidth="1"/>
    <col min="2056" max="2056" width="18" style="4" bestFit="1" customWidth="1"/>
    <col min="2057" max="2057" width="17.7109375" style="4" bestFit="1" customWidth="1"/>
    <col min="2058" max="2058" width="13.5703125" style="4" customWidth="1"/>
    <col min="2059" max="2059" width="18.5703125" style="4" bestFit="1" customWidth="1"/>
    <col min="2060" max="2060" width="15.5703125" style="4" customWidth="1"/>
    <col min="2061" max="2061" width="13.5703125" style="4" customWidth="1"/>
    <col min="2062" max="2304" width="11.42578125" style="4"/>
    <col min="2305" max="2305" width="2.5703125" style="4" customWidth="1"/>
    <col min="2306" max="2306" width="22.42578125" style="4" customWidth="1"/>
    <col min="2307" max="2307" width="12.140625" style="4" bestFit="1" customWidth="1"/>
    <col min="2308" max="2308" width="8.140625" style="4" customWidth="1"/>
    <col min="2309" max="2309" width="8.5703125" style="4" customWidth="1"/>
    <col min="2310" max="2310" width="17" style="4" bestFit="1" customWidth="1"/>
    <col min="2311" max="2311" width="16.7109375" style="4" bestFit="1" customWidth="1"/>
    <col min="2312" max="2312" width="18" style="4" bestFit="1" customWidth="1"/>
    <col min="2313" max="2313" width="17.7109375" style="4" bestFit="1" customWidth="1"/>
    <col min="2314" max="2314" width="13.5703125" style="4" customWidth="1"/>
    <col min="2315" max="2315" width="18.5703125" style="4" bestFit="1" customWidth="1"/>
    <col min="2316" max="2316" width="15.5703125" style="4" customWidth="1"/>
    <col min="2317" max="2317" width="13.5703125" style="4" customWidth="1"/>
    <col min="2318" max="2560" width="11.42578125" style="4"/>
    <col min="2561" max="2561" width="2.5703125" style="4" customWidth="1"/>
    <col min="2562" max="2562" width="22.42578125" style="4" customWidth="1"/>
    <col min="2563" max="2563" width="12.140625" style="4" bestFit="1" customWidth="1"/>
    <col min="2564" max="2564" width="8.140625" style="4" customWidth="1"/>
    <col min="2565" max="2565" width="8.5703125" style="4" customWidth="1"/>
    <col min="2566" max="2566" width="17" style="4" bestFit="1" customWidth="1"/>
    <col min="2567" max="2567" width="16.7109375" style="4" bestFit="1" customWidth="1"/>
    <col min="2568" max="2568" width="18" style="4" bestFit="1" customWidth="1"/>
    <col min="2569" max="2569" width="17.7109375" style="4" bestFit="1" customWidth="1"/>
    <col min="2570" max="2570" width="13.5703125" style="4" customWidth="1"/>
    <col min="2571" max="2571" width="18.5703125" style="4" bestFit="1" customWidth="1"/>
    <col min="2572" max="2572" width="15.5703125" style="4" customWidth="1"/>
    <col min="2573" max="2573" width="13.5703125" style="4" customWidth="1"/>
    <col min="2574" max="2816" width="11.42578125" style="4"/>
    <col min="2817" max="2817" width="2.5703125" style="4" customWidth="1"/>
    <col min="2818" max="2818" width="22.42578125" style="4" customWidth="1"/>
    <col min="2819" max="2819" width="12.140625" style="4" bestFit="1" customWidth="1"/>
    <col min="2820" max="2820" width="8.140625" style="4" customWidth="1"/>
    <col min="2821" max="2821" width="8.5703125" style="4" customWidth="1"/>
    <col min="2822" max="2822" width="17" style="4" bestFit="1" customWidth="1"/>
    <col min="2823" max="2823" width="16.7109375" style="4" bestFit="1" customWidth="1"/>
    <col min="2824" max="2824" width="18" style="4" bestFit="1" customWidth="1"/>
    <col min="2825" max="2825" width="17.7109375" style="4" bestFit="1" customWidth="1"/>
    <col min="2826" max="2826" width="13.5703125" style="4" customWidth="1"/>
    <col min="2827" max="2827" width="18.5703125" style="4" bestFit="1" customWidth="1"/>
    <col min="2828" max="2828" width="15.5703125" style="4" customWidth="1"/>
    <col min="2829" max="2829" width="13.5703125" style="4" customWidth="1"/>
    <col min="2830" max="3072" width="11.42578125" style="4"/>
    <col min="3073" max="3073" width="2.5703125" style="4" customWidth="1"/>
    <col min="3074" max="3074" width="22.42578125" style="4" customWidth="1"/>
    <col min="3075" max="3075" width="12.140625" style="4" bestFit="1" customWidth="1"/>
    <col min="3076" max="3076" width="8.140625" style="4" customWidth="1"/>
    <col min="3077" max="3077" width="8.5703125" style="4" customWidth="1"/>
    <col min="3078" max="3078" width="17" style="4" bestFit="1" customWidth="1"/>
    <col min="3079" max="3079" width="16.7109375" style="4" bestFit="1" customWidth="1"/>
    <col min="3080" max="3080" width="18" style="4" bestFit="1" customWidth="1"/>
    <col min="3081" max="3081" width="17.7109375" style="4" bestFit="1" customWidth="1"/>
    <col min="3082" max="3082" width="13.5703125" style="4" customWidth="1"/>
    <col min="3083" max="3083" width="18.5703125" style="4" bestFit="1" customWidth="1"/>
    <col min="3084" max="3084" width="15.5703125" style="4" customWidth="1"/>
    <col min="3085" max="3085" width="13.5703125" style="4" customWidth="1"/>
    <col min="3086" max="3328" width="11.42578125" style="4"/>
    <col min="3329" max="3329" width="2.5703125" style="4" customWidth="1"/>
    <col min="3330" max="3330" width="22.42578125" style="4" customWidth="1"/>
    <col min="3331" max="3331" width="12.140625" style="4" bestFit="1" customWidth="1"/>
    <col min="3332" max="3332" width="8.140625" style="4" customWidth="1"/>
    <col min="3333" max="3333" width="8.5703125" style="4" customWidth="1"/>
    <col min="3334" max="3334" width="17" style="4" bestFit="1" customWidth="1"/>
    <col min="3335" max="3335" width="16.7109375" style="4" bestFit="1" customWidth="1"/>
    <col min="3336" max="3336" width="18" style="4" bestFit="1" customWidth="1"/>
    <col min="3337" max="3337" width="17.7109375" style="4" bestFit="1" customWidth="1"/>
    <col min="3338" max="3338" width="13.5703125" style="4" customWidth="1"/>
    <col min="3339" max="3339" width="18.5703125" style="4" bestFit="1" customWidth="1"/>
    <col min="3340" max="3340" width="15.5703125" style="4" customWidth="1"/>
    <col min="3341" max="3341" width="13.5703125" style="4" customWidth="1"/>
    <col min="3342" max="3584" width="11.42578125" style="4"/>
    <col min="3585" max="3585" width="2.5703125" style="4" customWidth="1"/>
    <col min="3586" max="3586" width="22.42578125" style="4" customWidth="1"/>
    <col min="3587" max="3587" width="12.140625" style="4" bestFit="1" customWidth="1"/>
    <col min="3588" max="3588" width="8.140625" style="4" customWidth="1"/>
    <col min="3589" max="3589" width="8.5703125" style="4" customWidth="1"/>
    <col min="3590" max="3590" width="17" style="4" bestFit="1" customWidth="1"/>
    <col min="3591" max="3591" width="16.7109375" style="4" bestFit="1" customWidth="1"/>
    <col min="3592" max="3592" width="18" style="4" bestFit="1" customWidth="1"/>
    <col min="3593" max="3593" width="17.7109375" style="4" bestFit="1" customWidth="1"/>
    <col min="3594" max="3594" width="13.5703125" style="4" customWidth="1"/>
    <col min="3595" max="3595" width="18.5703125" style="4" bestFit="1" customWidth="1"/>
    <col min="3596" max="3596" width="15.5703125" style="4" customWidth="1"/>
    <col min="3597" max="3597" width="13.5703125" style="4" customWidth="1"/>
    <col min="3598" max="3840" width="11.42578125" style="4"/>
    <col min="3841" max="3841" width="2.5703125" style="4" customWidth="1"/>
    <col min="3842" max="3842" width="22.42578125" style="4" customWidth="1"/>
    <col min="3843" max="3843" width="12.140625" style="4" bestFit="1" customWidth="1"/>
    <col min="3844" max="3844" width="8.140625" style="4" customWidth="1"/>
    <col min="3845" max="3845" width="8.5703125" style="4" customWidth="1"/>
    <col min="3846" max="3846" width="17" style="4" bestFit="1" customWidth="1"/>
    <col min="3847" max="3847" width="16.7109375" style="4" bestFit="1" customWidth="1"/>
    <col min="3848" max="3848" width="18" style="4" bestFit="1" customWidth="1"/>
    <col min="3849" max="3849" width="17.7109375" style="4" bestFit="1" customWidth="1"/>
    <col min="3850" max="3850" width="13.5703125" style="4" customWidth="1"/>
    <col min="3851" max="3851" width="18.5703125" style="4" bestFit="1" customWidth="1"/>
    <col min="3852" max="3852" width="15.5703125" style="4" customWidth="1"/>
    <col min="3853" max="3853" width="13.5703125" style="4" customWidth="1"/>
    <col min="3854" max="4096" width="11.42578125" style="4"/>
    <col min="4097" max="4097" width="2.5703125" style="4" customWidth="1"/>
    <col min="4098" max="4098" width="22.42578125" style="4" customWidth="1"/>
    <col min="4099" max="4099" width="12.140625" style="4" bestFit="1" customWidth="1"/>
    <col min="4100" max="4100" width="8.140625" style="4" customWidth="1"/>
    <col min="4101" max="4101" width="8.5703125" style="4" customWidth="1"/>
    <col min="4102" max="4102" width="17" style="4" bestFit="1" customWidth="1"/>
    <col min="4103" max="4103" width="16.7109375" style="4" bestFit="1" customWidth="1"/>
    <col min="4104" max="4104" width="18" style="4" bestFit="1" customWidth="1"/>
    <col min="4105" max="4105" width="17.7109375" style="4" bestFit="1" customWidth="1"/>
    <col min="4106" max="4106" width="13.5703125" style="4" customWidth="1"/>
    <col min="4107" max="4107" width="18.5703125" style="4" bestFit="1" customWidth="1"/>
    <col min="4108" max="4108" width="15.5703125" style="4" customWidth="1"/>
    <col min="4109" max="4109" width="13.5703125" style="4" customWidth="1"/>
    <col min="4110" max="4352" width="11.42578125" style="4"/>
    <col min="4353" max="4353" width="2.5703125" style="4" customWidth="1"/>
    <col min="4354" max="4354" width="22.42578125" style="4" customWidth="1"/>
    <col min="4355" max="4355" width="12.140625" style="4" bestFit="1" customWidth="1"/>
    <col min="4356" max="4356" width="8.140625" style="4" customWidth="1"/>
    <col min="4357" max="4357" width="8.5703125" style="4" customWidth="1"/>
    <col min="4358" max="4358" width="17" style="4" bestFit="1" customWidth="1"/>
    <col min="4359" max="4359" width="16.7109375" style="4" bestFit="1" customWidth="1"/>
    <col min="4360" max="4360" width="18" style="4" bestFit="1" customWidth="1"/>
    <col min="4361" max="4361" width="17.7109375" style="4" bestFit="1" customWidth="1"/>
    <col min="4362" max="4362" width="13.5703125" style="4" customWidth="1"/>
    <col min="4363" max="4363" width="18.5703125" style="4" bestFit="1" customWidth="1"/>
    <col min="4364" max="4364" width="15.5703125" style="4" customWidth="1"/>
    <col min="4365" max="4365" width="13.5703125" style="4" customWidth="1"/>
    <col min="4366" max="4608" width="11.42578125" style="4"/>
    <col min="4609" max="4609" width="2.5703125" style="4" customWidth="1"/>
    <col min="4610" max="4610" width="22.42578125" style="4" customWidth="1"/>
    <col min="4611" max="4611" width="12.140625" style="4" bestFit="1" customWidth="1"/>
    <col min="4612" max="4612" width="8.140625" style="4" customWidth="1"/>
    <col min="4613" max="4613" width="8.5703125" style="4" customWidth="1"/>
    <col min="4614" max="4614" width="17" style="4" bestFit="1" customWidth="1"/>
    <col min="4615" max="4615" width="16.7109375" style="4" bestFit="1" customWidth="1"/>
    <col min="4616" max="4616" width="18" style="4" bestFit="1" customWidth="1"/>
    <col min="4617" max="4617" width="17.7109375" style="4" bestFit="1" customWidth="1"/>
    <col min="4618" max="4618" width="13.5703125" style="4" customWidth="1"/>
    <col min="4619" max="4619" width="18.5703125" style="4" bestFit="1" customWidth="1"/>
    <col min="4620" max="4620" width="15.5703125" style="4" customWidth="1"/>
    <col min="4621" max="4621" width="13.5703125" style="4" customWidth="1"/>
    <col min="4622" max="4864" width="11.42578125" style="4"/>
    <col min="4865" max="4865" width="2.5703125" style="4" customWidth="1"/>
    <col min="4866" max="4866" width="22.42578125" style="4" customWidth="1"/>
    <col min="4867" max="4867" width="12.140625" style="4" bestFit="1" customWidth="1"/>
    <col min="4868" max="4868" width="8.140625" style="4" customWidth="1"/>
    <col min="4869" max="4869" width="8.5703125" style="4" customWidth="1"/>
    <col min="4870" max="4870" width="17" style="4" bestFit="1" customWidth="1"/>
    <col min="4871" max="4871" width="16.7109375" style="4" bestFit="1" customWidth="1"/>
    <col min="4872" max="4872" width="18" style="4" bestFit="1" customWidth="1"/>
    <col min="4873" max="4873" width="17.7109375" style="4" bestFit="1" customWidth="1"/>
    <col min="4874" max="4874" width="13.5703125" style="4" customWidth="1"/>
    <col min="4875" max="4875" width="18.5703125" style="4" bestFit="1" customWidth="1"/>
    <col min="4876" max="4876" width="15.5703125" style="4" customWidth="1"/>
    <col min="4877" max="4877" width="13.5703125" style="4" customWidth="1"/>
    <col min="4878" max="5120" width="11.42578125" style="4"/>
    <col min="5121" max="5121" width="2.5703125" style="4" customWidth="1"/>
    <col min="5122" max="5122" width="22.42578125" style="4" customWidth="1"/>
    <col min="5123" max="5123" width="12.140625" style="4" bestFit="1" customWidth="1"/>
    <col min="5124" max="5124" width="8.140625" style="4" customWidth="1"/>
    <col min="5125" max="5125" width="8.5703125" style="4" customWidth="1"/>
    <col min="5126" max="5126" width="17" style="4" bestFit="1" customWidth="1"/>
    <col min="5127" max="5127" width="16.7109375" style="4" bestFit="1" customWidth="1"/>
    <col min="5128" max="5128" width="18" style="4" bestFit="1" customWidth="1"/>
    <col min="5129" max="5129" width="17.7109375" style="4" bestFit="1" customWidth="1"/>
    <col min="5130" max="5130" width="13.5703125" style="4" customWidth="1"/>
    <col min="5131" max="5131" width="18.5703125" style="4" bestFit="1" customWidth="1"/>
    <col min="5132" max="5132" width="15.5703125" style="4" customWidth="1"/>
    <col min="5133" max="5133" width="13.5703125" style="4" customWidth="1"/>
    <col min="5134" max="5376" width="11.42578125" style="4"/>
    <col min="5377" max="5377" width="2.5703125" style="4" customWidth="1"/>
    <col min="5378" max="5378" width="22.42578125" style="4" customWidth="1"/>
    <col min="5379" max="5379" width="12.140625" style="4" bestFit="1" customWidth="1"/>
    <col min="5380" max="5380" width="8.140625" style="4" customWidth="1"/>
    <col min="5381" max="5381" width="8.5703125" style="4" customWidth="1"/>
    <col min="5382" max="5382" width="17" style="4" bestFit="1" customWidth="1"/>
    <col min="5383" max="5383" width="16.7109375" style="4" bestFit="1" customWidth="1"/>
    <col min="5384" max="5384" width="18" style="4" bestFit="1" customWidth="1"/>
    <col min="5385" max="5385" width="17.7109375" style="4" bestFit="1" customWidth="1"/>
    <col min="5386" max="5386" width="13.5703125" style="4" customWidth="1"/>
    <col min="5387" max="5387" width="18.5703125" style="4" bestFit="1" customWidth="1"/>
    <col min="5388" max="5388" width="15.5703125" style="4" customWidth="1"/>
    <col min="5389" max="5389" width="13.5703125" style="4" customWidth="1"/>
    <col min="5390" max="5632" width="11.42578125" style="4"/>
    <col min="5633" max="5633" width="2.5703125" style="4" customWidth="1"/>
    <col min="5634" max="5634" width="22.42578125" style="4" customWidth="1"/>
    <col min="5635" max="5635" width="12.140625" style="4" bestFit="1" customWidth="1"/>
    <col min="5636" max="5636" width="8.140625" style="4" customWidth="1"/>
    <col min="5637" max="5637" width="8.5703125" style="4" customWidth="1"/>
    <col min="5638" max="5638" width="17" style="4" bestFit="1" customWidth="1"/>
    <col min="5639" max="5639" width="16.7109375" style="4" bestFit="1" customWidth="1"/>
    <col min="5640" max="5640" width="18" style="4" bestFit="1" customWidth="1"/>
    <col min="5641" max="5641" width="17.7109375" style="4" bestFit="1" customWidth="1"/>
    <col min="5642" max="5642" width="13.5703125" style="4" customWidth="1"/>
    <col min="5643" max="5643" width="18.5703125" style="4" bestFit="1" customWidth="1"/>
    <col min="5644" max="5644" width="15.5703125" style="4" customWidth="1"/>
    <col min="5645" max="5645" width="13.5703125" style="4" customWidth="1"/>
    <col min="5646" max="5888" width="11.42578125" style="4"/>
    <col min="5889" max="5889" width="2.5703125" style="4" customWidth="1"/>
    <col min="5890" max="5890" width="22.42578125" style="4" customWidth="1"/>
    <col min="5891" max="5891" width="12.140625" style="4" bestFit="1" customWidth="1"/>
    <col min="5892" max="5892" width="8.140625" style="4" customWidth="1"/>
    <col min="5893" max="5893" width="8.5703125" style="4" customWidth="1"/>
    <col min="5894" max="5894" width="17" style="4" bestFit="1" customWidth="1"/>
    <col min="5895" max="5895" width="16.7109375" style="4" bestFit="1" customWidth="1"/>
    <col min="5896" max="5896" width="18" style="4" bestFit="1" customWidth="1"/>
    <col min="5897" max="5897" width="17.7109375" style="4" bestFit="1" customWidth="1"/>
    <col min="5898" max="5898" width="13.5703125" style="4" customWidth="1"/>
    <col min="5899" max="5899" width="18.5703125" style="4" bestFit="1" customWidth="1"/>
    <col min="5900" max="5900" width="15.5703125" style="4" customWidth="1"/>
    <col min="5901" max="5901" width="13.5703125" style="4" customWidth="1"/>
    <col min="5902" max="6144" width="11.42578125" style="4"/>
    <col min="6145" max="6145" width="2.5703125" style="4" customWidth="1"/>
    <col min="6146" max="6146" width="22.42578125" style="4" customWidth="1"/>
    <col min="6147" max="6147" width="12.140625" style="4" bestFit="1" customWidth="1"/>
    <col min="6148" max="6148" width="8.140625" style="4" customWidth="1"/>
    <col min="6149" max="6149" width="8.5703125" style="4" customWidth="1"/>
    <col min="6150" max="6150" width="17" style="4" bestFit="1" customWidth="1"/>
    <col min="6151" max="6151" width="16.7109375" style="4" bestFit="1" customWidth="1"/>
    <col min="6152" max="6152" width="18" style="4" bestFit="1" customWidth="1"/>
    <col min="6153" max="6153" width="17.7109375" style="4" bestFit="1" customWidth="1"/>
    <col min="6154" max="6154" width="13.5703125" style="4" customWidth="1"/>
    <col min="6155" max="6155" width="18.5703125" style="4" bestFit="1" customWidth="1"/>
    <col min="6156" max="6156" width="15.5703125" style="4" customWidth="1"/>
    <col min="6157" max="6157" width="13.5703125" style="4" customWidth="1"/>
    <col min="6158" max="6400" width="11.42578125" style="4"/>
    <col min="6401" max="6401" width="2.5703125" style="4" customWidth="1"/>
    <col min="6402" max="6402" width="22.42578125" style="4" customWidth="1"/>
    <col min="6403" max="6403" width="12.140625" style="4" bestFit="1" customWidth="1"/>
    <col min="6404" max="6404" width="8.140625" style="4" customWidth="1"/>
    <col min="6405" max="6405" width="8.5703125" style="4" customWidth="1"/>
    <col min="6406" max="6406" width="17" style="4" bestFit="1" customWidth="1"/>
    <col min="6407" max="6407" width="16.7109375" style="4" bestFit="1" customWidth="1"/>
    <col min="6408" max="6408" width="18" style="4" bestFit="1" customWidth="1"/>
    <col min="6409" max="6409" width="17.7109375" style="4" bestFit="1" customWidth="1"/>
    <col min="6410" max="6410" width="13.5703125" style="4" customWidth="1"/>
    <col min="6411" max="6411" width="18.5703125" style="4" bestFit="1" customWidth="1"/>
    <col min="6412" max="6412" width="15.5703125" style="4" customWidth="1"/>
    <col min="6413" max="6413" width="13.5703125" style="4" customWidth="1"/>
    <col min="6414" max="6656" width="11.42578125" style="4"/>
    <col min="6657" max="6657" width="2.5703125" style="4" customWidth="1"/>
    <col min="6658" max="6658" width="22.42578125" style="4" customWidth="1"/>
    <col min="6659" max="6659" width="12.140625" style="4" bestFit="1" customWidth="1"/>
    <col min="6660" max="6660" width="8.140625" style="4" customWidth="1"/>
    <col min="6661" max="6661" width="8.5703125" style="4" customWidth="1"/>
    <col min="6662" max="6662" width="17" style="4" bestFit="1" customWidth="1"/>
    <col min="6663" max="6663" width="16.7109375" style="4" bestFit="1" customWidth="1"/>
    <col min="6664" max="6664" width="18" style="4" bestFit="1" customWidth="1"/>
    <col min="6665" max="6665" width="17.7109375" style="4" bestFit="1" customWidth="1"/>
    <col min="6666" max="6666" width="13.5703125" style="4" customWidth="1"/>
    <col min="6667" max="6667" width="18.5703125" style="4" bestFit="1" customWidth="1"/>
    <col min="6668" max="6668" width="15.5703125" style="4" customWidth="1"/>
    <col min="6669" max="6669" width="13.5703125" style="4" customWidth="1"/>
    <col min="6670" max="6912" width="11.42578125" style="4"/>
    <col min="6913" max="6913" width="2.5703125" style="4" customWidth="1"/>
    <col min="6914" max="6914" width="22.42578125" style="4" customWidth="1"/>
    <col min="6915" max="6915" width="12.140625" style="4" bestFit="1" customWidth="1"/>
    <col min="6916" max="6916" width="8.140625" style="4" customWidth="1"/>
    <col min="6917" max="6917" width="8.5703125" style="4" customWidth="1"/>
    <col min="6918" max="6918" width="17" style="4" bestFit="1" customWidth="1"/>
    <col min="6919" max="6919" width="16.7109375" style="4" bestFit="1" customWidth="1"/>
    <col min="6920" max="6920" width="18" style="4" bestFit="1" customWidth="1"/>
    <col min="6921" max="6921" width="17.7109375" style="4" bestFit="1" customWidth="1"/>
    <col min="6922" max="6922" width="13.5703125" style="4" customWidth="1"/>
    <col min="6923" max="6923" width="18.5703125" style="4" bestFit="1" customWidth="1"/>
    <col min="6924" max="6924" width="15.5703125" style="4" customWidth="1"/>
    <col min="6925" max="6925" width="13.5703125" style="4" customWidth="1"/>
    <col min="6926" max="7168" width="11.42578125" style="4"/>
    <col min="7169" max="7169" width="2.5703125" style="4" customWidth="1"/>
    <col min="7170" max="7170" width="22.42578125" style="4" customWidth="1"/>
    <col min="7171" max="7171" width="12.140625" style="4" bestFit="1" customWidth="1"/>
    <col min="7172" max="7172" width="8.140625" style="4" customWidth="1"/>
    <col min="7173" max="7173" width="8.5703125" style="4" customWidth="1"/>
    <col min="7174" max="7174" width="17" style="4" bestFit="1" customWidth="1"/>
    <col min="7175" max="7175" width="16.7109375" style="4" bestFit="1" customWidth="1"/>
    <col min="7176" max="7176" width="18" style="4" bestFit="1" customWidth="1"/>
    <col min="7177" max="7177" width="17.7109375" style="4" bestFit="1" customWidth="1"/>
    <col min="7178" max="7178" width="13.5703125" style="4" customWidth="1"/>
    <col min="7179" max="7179" width="18.5703125" style="4" bestFit="1" customWidth="1"/>
    <col min="7180" max="7180" width="15.5703125" style="4" customWidth="1"/>
    <col min="7181" max="7181" width="13.5703125" style="4" customWidth="1"/>
    <col min="7182" max="7424" width="11.42578125" style="4"/>
    <col min="7425" max="7425" width="2.5703125" style="4" customWidth="1"/>
    <col min="7426" max="7426" width="22.42578125" style="4" customWidth="1"/>
    <col min="7427" max="7427" width="12.140625" style="4" bestFit="1" customWidth="1"/>
    <col min="7428" max="7428" width="8.140625" style="4" customWidth="1"/>
    <col min="7429" max="7429" width="8.5703125" style="4" customWidth="1"/>
    <col min="7430" max="7430" width="17" style="4" bestFit="1" customWidth="1"/>
    <col min="7431" max="7431" width="16.7109375" style="4" bestFit="1" customWidth="1"/>
    <col min="7432" max="7432" width="18" style="4" bestFit="1" customWidth="1"/>
    <col min="7433" max="7433" width="17.7109375" style="4" bestFit="1" customWidth="1"/>
    <col min="7434" max="7434" width="13.5703125" style="4" customWidth="1"/>
    <col min="7435" max="7435" width="18.5703125" style="4" bestFit="1" customWidth="1"/>
    <col min="7436" max="7436" width="15.5703125" style="4" customWidth="1"/>
    <col min="7437" max="7437" width="13.5703125" style="4" customWidth="1"/>
    <col min="7438" max="7680" width="11.42578125" style="4"/>
    <col min="7681" max="7681" width="2.5703125" style="4" customWidth="1"/>
    <col min="7682" max="7682" width="22.42578125" style="4" customWidth="1"/>
    <col min="7683" max="7683" width="12.140625" style="4" bestFit="1" customWidth="1"/>
    <col min="7684" max="7684" width="8.140625" style="4" customWidth="1"/>
    <col min="7685" max="7685" width="8.5703125" style="4" customWidth="1"/>
    <col min="7686" max="7686" width="17" style="4" bestFit="1" customWidth="1"/>
    <col min="7687" max="7687" width="16.7109375" style="4" bestFit="1" customWidth="1"/>
    <col min="7688" max="7688" width="18" style="4" bestFit="1" customWidth="1"/>
    <col min="7689" max="7689" width="17.7109375" style="4" bestFit="1" customWidth="1"/>
    <col min="7690" max="7690" width="13.5703125" style="4" customWidth="1"/>
    <col min="7691" max="7691" width="18.5703125" style="4" bestFit="1" customWidth="1"/>
    <col min="7692" max="7692" width="15.5703125" style="4" customWidth="1"/>
    <col min="7693" max="7693" width="13.5703125" style="4" customWidth="1"/>
    <col min="7694" max="7936" width="11.42578125" style="4"/>
    <col min="7937" max="7937" width="2.5703125" style="4" customWidth="1"/>
    <col min="7938" max="7938" width="22.42578125" style="4" customWidth="1"/>
    <col min="7939" max="7939" width="12.140625" style="4" bestFit="1" customWidth="1"/>
    <col min="7940" max="7940" width="8.140625" style="4" customWidth="1"/>
    <col min="7941" max="7941" width="8.5703125" style="4" customWidth="1"/>
    <col min="7942" max="7942" width="17" style="4" bestFit="1" customWidth="1"/>
    <col min="7943" max="7943" width="16.7109375" style="4" bestFit="1" customWidth="1"/>
    <col min="7944" max="7944" width="18" style="4" bestFit="1" customWidth="1"/>
    <col min="7945" max="7945" width="17.7109375" style="4" bestFit="1" customWidth="1"/>
    <col min="7946" max="7946" width="13.5703125" style="4" customWidth="1"/>
    <col min="7947" max="7947" width="18.5703125" style="4" bestFit="1" customWidth="1"/>
    <col min="7948" max="7948" width="15.5703125" style="4" customWidth="1"/>
    <col min="7949" max="7949" width="13.5703125" style="4" customWidth="1"/>
    <col min="7950" max="8192" width="11.42578125" style="4"/>
    <col min="8193" max="8193" width="2.5703125" style="4" customWidth="1"/>
    <col min="8194" max="8194" width="22.42578125" style="4" customWidth="1"/>
    <col min="8195" max="8195" width="12.140625" style="4" bestFit="1" customWidth="1"/>
    <col min="8196" max="8196" width="8.140625" style="4" customWidth="1"/>
    <col min="8197" max="8197" width="8.5703125" style="4" customWidth="1"/>
    <col min="8198" max="8198" width="17" style="4" bestFit="1" customWidth="1"/>
    <col min="8199" max="8199" width="16.7109375" style="4" bestFit="1" customWidth="1"/>
    <col min="8200" max="8200" width="18" style="4" bestFit="1" customWidth="1"/>
    <col min="8201" max="8201" width="17.7109375" style="4" bestFit="1" customWidth="1"/>
    <col min="8202" max="8202" width="13.5703125" style="4" customWidth="1"/>
    <col min="8203" max="8203" width="18.5703125" style="4" bestFit="1" customWidth="1"/>
    <col min="8204" max="8204" width="15.5703125" style="4" customWidth="1"/>
    <col min="8205" max="8205" width="13.5703125" style="4" customWidth="1"/>
    <col min="8206" max="8448" width="11.42578125" style="4"/>
    <col min="8449" max="8449" width="2.5703125" style="4" customWidth="1"/>
    <col min="8450" max="8450" width="22.42578125" style="4" customWidth="1"/>
    <col min="8451" max="8451" width="12.140625" style="4" bestFit="1" customWidth="1"/>
    <col min="8452" max="8452" width="8.140625" style="4" customWidth="1"/>
    <col min="8453" max="8453" width="8.5703125" style="4" customWidth="1"/>
    <col min="8454" max="8454" width="17" style="4" bestFit="1" customWidth="1"/>
    <col min="8455" max="8455" width="16.7109375" style="4" bestFit="1" customWidth="1"/>
    <col min="8456" max="8456" width="18" style="4" bestFit="1" customWidth="1"/>
    <col min="8457" max="8457" width="17.7109375" style="4" bestFit="1" customWidth="1"/>
    <col min="8458" max="8458" width="13.5703125" style="4" customWidth="1"/>
    <col min="8459" max="8459" width="18.5703125" style="4" bestFit="1" customWidth="1"/>
    <col min="8460" max="8460" width="15.5703125" style="4" customWidth="1"/>
    <col min="8461" max="8461" width="13.5703125" style="4" customWidth="1"/>
    <col min="8462" max="8704" width="11.42578125" style="4"/>
    <col min="8705" max="8705" width="2.5703125" style="4" customWidth="1"/>
    <col min="8706" max="8706" width="22.42578125" style="4" customWidth="1"/>
    <col min="8707" max="8707" width="12.140625" style="4" bestFit="1" customWidth="1"/>
    <col min="8708" max="8708" width="8.140625" style="4" customWidth="1"/>
    <col min="8709" max="8709" width="8.5703125" style="4" customWidth="1"/>
    <col min="8710" max="8710" width="17" style="4" bestFit="1" customWidth="1"/>
    <col min="8711" max="8711" width="16.7109375" style="4" bestFit="1" customWidth="1"/>
    <col min="8712" max="8712" width="18" style="4" bestFit="1" customWidth="1"/>
    <col min="8713" max="8713" width="17.7109375" style="4" bestFit="1" customWidth="1"/>
    <col min="8714" max="8714" width="13.5703125" style="4" customWidth="1"/>
    <col min="8715" max="8715" width="18.5703125" style="4" bestFit="1" customWidth="1"/>
    <col min="8716" max="8716" width="15.5703125" style="4" customWidth="1"/>
    <col min="8717" max="8717" width="13.5703125" style="4" customWidth="1"/>
    <col min="8718" max="8960" width="11.42578125" style="4"/>
    <col min="8961" max="8961" width="2.5703125" style="4" customWidth="1"/>
    <col min="8962" max="8962" width="22.42578125" style="4" customWidth="1"/>
    <col min="8963" max="8963" width="12.140625" style="4" bestFit="1" customWidth="1"/>
    <col min="8964" max="8964" width="8.140625" style="4" customWidth="1"/>
    <col min="8965" max="8965" width="8.5703125" style="4" customWidth="1"/>
    <col min="8966" max="8966" width="17" style="4" bestFit="1" customWidth="1"/>
    <col min="8967" max="8967" width="16.7109375" style="4" bestFit="1" customWidth="1"/>
    <col min="8968" max="8968" width="18" style="4" bestFit="1" customWidth="1"/>
    <col min="8969" max="8969" width="17.7109375" style="4" bestFit="1" customWidth="1"/>
    <col min="8970" max="8970" width="13.5703125" style="4" customWidth="1"/>
    <col min="8971" max="8971" width="18.5703125" style="4" bestFit="1" customWidth="1"/>
    <col min="8972" max="8972" width="15.5703125" style="4" customWidth="1"/>
    <col min="8973" max="8973" width="13.5703125" style="4" customWidth="1"/>
    <col min="8974" max="9216" width="11.42578125" style="4"/>
    <col min="9217" max="9217" width="2.5703125" style="4" customWidth="1"/>
    <col min="9218" max="9218" width="22.42578125" style="4" customWidth="1"/>
    <col min="9219" max="9219" width="12.140625" style="4" bestFit="1" customWidth="1"/>
    <col min="9220" max="9220" width="8.140625" style="4" customWidth="1"/>
    <col min="9221" max="9221" width="8.5703125" style="4" customWidth="1"/>
    <col min="9222" max="9222" width="17" style="4" bestFit="1" customWidth="1"/>
    <col min="9223" max="9223" width="16.7109375" style="4" bestFit="1" customWidth="1"/>
    <col min="9224" max="9224" width="18" style="4" bestFit="1" customWidth="1"/>
    <col min="9225" max="9225" width="17.7109375" style="4" bestFit="1" customWidth="1"/>
    <col min="9226" max="9226" width="13.5703125" style="4" customWidth="1"/>
    <col min="9227" max="9227" width="18.5703125" style="4" bestFit="1" customWidth="1"/>
    <col min="9228" max="9228" width="15.5703125" style="4" customWidth="1"/>
    <col min="9229" max="9229" width="13.5703125" style="4" customWidth="1"/>
    <col min="9230" max="9472" width="11.42578125" style="4"/>
    <col min="9473" max="9473" width="2.5703125" style="4" customWidth="1"/>
    <col min="9474" max="9474" width="22.42578125" style="4" customWidth="1"/>
    <col min="9475" max="9475" width="12.140625" style="4" bestFit="1" customWidth="1"/>
    <col min="9476" max="9476" width="8.140625" style="4" customWidth="1"/>
    <col min="9477" max="9477" width="8.5703125" style="4" customWidth="1"/>
    <col min="9478" max="9478" width="17" style="4" bestFit="1" customWidth="1"/>
    <col min="9479" max="9479" width="16.7109375" style="4" bestFit="1" customWidth="1"/>
    <col min="9480" max="9480" width="18" style="4" bestFit="1" customWidth="1"/>
    <col min="9481" max="9481" width="17.7109375" style="4" bestFit="1" customWidth="1"/>
    <col min="9482" max="9482" width="13.5703125" style="4" customWidth="1"/>
    <col min="9483" max="9483" width="18.5703125" style="4" bestFit="1" customWidth="1"/>
    <col min="9484" max="9484" width="15.5703125" style="4" customWidth="1"/>
    <col min="9485" max="9485" width="13.5703125" style="4" customWidth="1"/>
    <col min="9486" max="9728" width="11.42578125" style="4"/>
    <col min="9729" max="9729" width="2.5703125" style="4" customWidth="1"/>
    <col min="9730" max="9730" width="22.42578125" style="4" customWidth="1"/>
    <col min="9731" max="9731" width="12.140625" style="4" bestFit="1" customWidth="1"/>
    <col min="9732" max="9732" width="8.140625" style="4" customWidth="1"/>
    <col min="9733" max="9733" width="8.5703125" style="4" customWidth="1"/>
    <col min="9734" max="9734" width="17" style="4" bestFit="1" customWidth="1"/>
    <col min="9735" max="9735" width="16.7109375" style="4" bestFit="1" customWidth="1"/>
    <col min="9736" max="9736" width="18" style="4" bestFit="1" customWidth="1"/>
    <col min="9737" max="9737" width="17.7109375" style="4" bestFit="1" customWidth="1"/>
    <col min="9738" max="9738" width="13.5703125" style="4" customWidth="1"/>
    <col min="9739" max="9739" width="18.5703125" style="4" bestFit="1" customWidth="1"/>
    <col min="9740" max="9740" width="15.5703125" style="4" customWidth="1"/>
    <col min="9741" max="9741" width="13.5703125" style="4" customWidth="1"/>
    <col min="9742" max="9984" width="11.42578125" style="4"/>
    <col min="9985" max="9985" width="2.5703125" style="4" customWidth="1"/>
    <col min="9986" max="9986" width="22.42578125" style="4" customWidth="1"/>
    <col min="9987" max="9987" width="12.140625" style="4" bestFit="1" customWidth="1"/>
    <col min="9988" max="9988" width="8.140625" style="4" customWidth="1"/>
    <col min="9989" max="9989" width="8.5703125" style="4" customWidth="1"/>
    <col min="9990" max="9990" width="17" style="4" bestFit="1" customWidth="1"/>
    <col min="9991" max="9991" width="16.7109375" style="4" bestFit="1" customWidth="1"/>
    <col min="9992" max="9992" width="18" style="4" bestFit="1" customWidth="1"/>
    <col min="9993" max="9993" width="17.7109375" style="4" bestFit="1" customWidth="1"/>
    <col min="9994" max="9994" width="13.5703125" style="4" customWidth="1"/>
    <col min="9995" max="9995" width="18.5703125" style="4" bestFit="1" customWidth="1"/>
    <col min="9996" max="9996" width="15.5703125" style="4" customWidth="1"/>
    <col min="9997" max="9997" width="13.5703125" style="4" customWidth="1"/>
    <col min="9998" max="10240" width="11.42578125" style="4"/>
    <col min="10241" max="10241" width="2.5703125" style="4" customWidth="1"/>
    <col min="10242" max="10242" width="22.42578125" style="4" customWidth="1"/>
    <col min="10243" max="10243" width="12.140625" style="4" bestFit="1" customWidth="1"/>
    <col min="10244" max="10244" width="8.140625" style="4" customWidth="1"/>
    <col min="10245" max="10245" width="8.5703125" style="4" customWidth="1"/>
    <col min="10246" max="10246" width="17" style="4" bestFit="1" customWidth="1"/>
    <col min="10247" max="10247" width="16.7109375" style="4" bestFit="1" customWidth="1"/>
    <col min="10248" max="10248" width="18" style="4" bestFit="1" customWidth="1"/>
    <col min="10249" max="10249" width="17.7109375" style="4" bestFit="1" customWidth="1"/>
    <col min="10250" max="10250" width="13.5703125" style="4" customWidth="1"/>
    <col min="10251" max="10251" width="18.5703125" style="4" bestFit="1" customWidth="1"/>
    <col min="10252" max="10252" width="15.5703125" style="4" customWidth="1"/>
    <col min="10253" max="10253" width="13.5703125" style="4" customWidth="1"/>
    <col min="10254" max="10496" width="11.42578125" style="4"/>
    <col min="10497" max="10497" width="2.5703125" style="4" customWidth="1"/>
    <col min="10498" max="10498" width="22.42578125" style="4" customWidth="1"/>
    <col min="10499" max="10499" width="12.140625" style="4" bestFit="1" customWidth="1"/>
    <col min="10500" max="10500" width="8.140625" style="4" customWidth="1"/>
    <col min="10501" max="10501" width="8.5703125" style="4" customWidth="1"/>
    <col min="10502" max="10502" width="17" style="4" bestFit="1" customWidth="1"/>
    <col min="10503" max="10503" width="16.7109375" style="4" bestFit="1" customWidth="1"/>
    <col min="10504" max="10504" width="18" style="4" bestFit="1" customWidth="1"/>
    <col min="10505" max="10505" width="17.7109375" style="4" bestFit="1" customWidth="1"/>
    <col min="10506" max="10506" width="13.5703125" style="4" customWidth="1"/>
    <col min="10507" max="10507" width="18.5703125" style="4" bestFit="1" customWidth="1"/>
    <col min="10508" max="10508" width="15.5703125" style="4" customWidth="1"/>
    <col min="10509" max="10509" width="13.5703125" style="4" customWidth="1"/>
    <col min="10510" max="10752" width="11.42578125" style="4"/>
    <col min="10753" max="10753" width="2.5703125" style="4" customWidth="1"/>
    <col min="10754" max="10754" width="22.42578125" style="4" customWidth="1"/>
    <col min="10755" max="10755" width="12.140625" style="4" bestFit="1" customWidth="1"/>
    <col min="10756" max="10756" width="8.140625" style="4" customWidth="1"/>
    <col min="10757" max="10757" width="8.5703125" style="4" customWidth="1"/>
    <col min="10758" max="10758" width="17" style="4" bestFit="1" customWidth="1"/>
    <col min="10759" max="10759" width="16.7109375" style="4" bestFit="1" customWidth="1"/>
    <col min="10760" max="10760" width="18" style="4" bestFit="1" customWidth="1"/>
    <col min="10761" max="10761" width="17.7109375" style="4" bestFit="1" customWidth="1"/>
    <col min="10762" max="10762" width="13.5703125" style="4" customWidth="1"/>
    <col min="10763" max="10763" width="18.5703125" style="4" bestFit="1" customWidth="1"/>
    <col min="10764" max="10764" width="15.5703125" style="4" customWidth="1"/>
    <col min="10765" max="10765" width="13.5703125" style="4" customWidth="1"/>
    <col min="10766" max="11008" width="11.42578125" style="4"/>
    <col min="11009" max="11009" width="2.5703125" style="4" customWidth="1"/>
    <col min="11010" max="11010" width="22.42578125" style="4" customWidth="1"/>
    <col min="11011" max="11011" width="12.140625" style="4" bestFit="1" customWidth="1"/>
    <col min="11012" max="11012" width="8.140625" style="4" customWidth="1"/>
    <col min="11013" max="11013" width="8.5703125" style="4" customWidth="1"/>
    <col min="11014" max="11014" width="17" style="4" bestFit="1" customWidth="1"/>
    <col min="11015" max="11015" width="16.7109375" style="4" bestFit="1" customWidth="1"/>
    <col min="11016" max="11016" width="18" style="4" bestFit="1" customWidth="1"/>
    <col min="11017" max="11017" width="17.7109375" style="4" bestFit="1" customWidth="1"/>
    <col min="11018" max="11018" width="13.5703125" style="4" customWidth="1"/>
    <col min="11019" max="11019" width="18.5703125" style="4" bestFit="1" customWidth="1"/>
    <col min="11020" max="11020" width="15.5703125" style="4" customWidth="1"/>
    <col min="11021" max="11021" width="13.5703125" style="4" customWidth="1"/>
    <col min="11022" max="11264" width="11.42578125" style="4"/>
    <col min="11265" max="11265" width="2.5703125" style="4" customWidth="1"/>
    <col min="11266" max="11266" width="22.42578125" style="4" customWidth="1"/>
    <col min="11267" max="11267" width="12.140625" style="4" bestFit="1" customWidth="1"/>
    <col min="11268" max="11268" width="8.140625" style="4" customWidth="1"/>
    <col min="11269" max="11269" width="8.5703125" style="4" customWidth="1"/>
    <col min="11270" max="11270" width="17" style="4" bestFit="1" customWidth="1"/>
    <col min="11271" max="11271" width="16.7109375" style="4" bestFit="1" customWidth="1"/>
    <col min="11272" max="11272" width="18" style="4" bestFit="1" customWidth="1"/>
    <col min="11273" max="11273" width="17.7109375" style="4" bestFit="1" customWidth="1"/>
    <col min="11274" max="11274" width="13.5703125" style="4" customWidth="1"/>
    <col min="11275" max="11275" width="18.5703125" style="4" bestFit="1" customWidth="1"/>
    <col min="11276" max="11276" width="15.5703125" style="4" customWidth="1"/>
    <col min="11277" max="11277" width="13.5703125" style="4" customWidth="1"/>
    <col min="11278" max="11520" width="11.42578125" style="4"/>
    <col min="11521" max="11521" width="2.5703125" style="4" customWidth="1"/>
    <col min="11522" max="11522" width="22.42578125" style="4" customWidth="1"/>
    <col min="11523" max="11523" width="12.140625" style="4" bestFit="1" customWidth="1"/>
    <col min="11524" max="11524" width="8.140625" style="4" customWidth="1"/>
    <col min="11525" max="11525" width="8.5703125" style="4" customWidth="1"/>
    <col min="11526" max="11526" width="17" style="4" bestFit="1" customWidth="1"/>
    <col min="11527" max="11527" width="16.7109375" style="4" bestFit="1" customWidth="1"/>
    <col min="11528" max="11528" width="18" style="4" bestFit="1" customWidth="1"/>
    <col min="11529" max="11529" width="17.7109375" style="4" bestFit="1" customWidth="1"/>
    <col min="11530" max="11530" width="13.5703125" style="4" customWidth="1"/>
    <col min="11531" max="11531" width="18.5703125" style="4" bestFit="1" customWidth="1"/>
    <col min="11532" max="11532" width="15.5703125" style="4" customWidth="1"/>
    <col min="11533" max="11533" width="13.5703125" style="4" customWidth="1"/>
    <col min="11534" max="11776" width="11.42578125" style="4"/>
    <col min="11777" max="11777" width="2.5703125" style="4" customWidth="1"/>
    <col min="11778" max="11778" width="22.42578125" style="4" customWidth="1"/>
    <col min="11779" max="11779" width="12.140625" style="4" bestFit="1" customWidth="1"/>
    <col min="11780" max="11780" width="8.140625" style="4" customWidth="1"/>
    <col min="11781" max="11781" width="8.5703125" style="4" customWidth="1"/>
    <col min="11782" max="11782" width="17" style="4" bestFit="1" customWidth="1"/>
    <col min="11783" max="11783" width="16.7109375" style="4" bestFit="1" customWidth="1"/>
    <col min="11784" max="11784" width="18" style="4" bestFit="1" customWidth="1"/>
    <col min="11785" max="11785" width="17.7109375" style="4" bestFit="1" customWidth="1"/>
    <col min="11786" max="11786" width="13.5703125" style="4" customWidth="1"/>
    <col min="11787" max="11787" width="18.5703125" style="4" bestFit="1" customWidth="1"/>
    <col min="11788" max="11788" width="15.5703125" style="4" customWidth="1"/>
    <col min="11789" max="11789" width="13.5703125" style="4" customWidth="1"/>
    <col min="11790" max="12032" width="11.42578125" style="4"/>
    <col min="12033" max="12033" width="2.5703125" style="4" customWidth="1"/>
    <col min="12034" max="12034" width="22.42578125" style="4" customWidth="1"/>
    <col min="12035" max="12035" width="12.140625" style="4" bestFit="1" customWidth="1"/>
    <col min="12036" max="12036" width="8.140625" style="4" customWidth="1"/>
    <col min="12037" max="12037" width="8.5703125" style="4" customWidth="1"/>
    <col min="12038" max="12038" width="17" style="4" bestFit="1" customWidth="1"/>
    <col min="12039" max="12039" width="16.7109375" style="4" bestFit="1" customWidth="1"/>
    <col min="12040" max="12040" width="18" style="4" bestFit="1" customWidth="1"/>
    <col min="12041" max="12041" width="17.7109375" style="4" bestFit="1" customWidth="1"/>
    <col min="12042" max="12042" width="13.5703125" style="4" customWidth="1"/>
    <col min="12043" max="12043" width="18.5703125" style="4" bestFit="1" customWidth="1"/>
    <col min="12044" max="12044" width="15.5703125" style="4" customWidth="1"/>
    <col min="12045" max="12045" width="13.5703125" style="4" customWidth="1"/>
    <col min="12046" max="12288" width="11.42578125" style="4"/>
    <col min="12289" max="12289" width="2.5703125" style="4" customWidth="1"/>
    <col min="12290" max="12290" width="22.42578125" style="4" customWidth="1"/>
    <col min="12291" max="12291" width="12.140625" style="4" bestFit="1" customWidth="1"/>
    <col min="12292" max="12292" width="8.140625" style="4" customWidth="1"/>
    <col min="12293" max="12293" width="8.5703125" style="4" customWidth="1"/>
    <col min="12294" max="12294" width="17" style="4" bestFit="1" customWidth="1"/>
    <col min="12295" max="12295" width="16.7109375" style="4" bestFit="1" customWidth="1"/>
    <col min="12296" max="12296" width="18" style="4" bestFit="1" customWidth="1"/>
    <col min="12297" max="12297" width="17.7109375" style="4" bestFit="1" customWidth="1"/>
    <col min="12298" max="12298" width="13.5703125" style="4" customWidth="1"/>
    <col min="12299" max="12299" width="18.5703125" style="4" bestFit="1" customWidth="1"/>
    <col min="12300" max="12300" width="15.5703125" style="4" customWidth="1"/>
    <col min="12301" max="12301" width="13.5703125" style="4" customWidth="1"/>
    <col min="12302" max="12544" width="11.42578125" style="4"/>
    <col min="12545" max="12545" width="2.5703125" style="4" customWidth="1"/>
    <col min="12546" max="12546" width="22.42578125" style="4" customWidth="1"/>
    <col min="12547" max="12547" width="12.140625" style="4" bestFit="1" customWidth="1"/>
    <col min="12548" max="12548" width="8.140625" style="4" customWidth="1"/>
    <col min="12549" max="12549" width="8.5703125" style="4" customWidth="1"/>
    <col min="12550" max="12550" width="17" style="4" bestFit="1" customWidth="1"/>
    <col min="12551" max="12551" width="16.7109375" style="4" bestFit="1" customWidth="1"/>
    <col min="12552" max="12552" width="18" style="4" bestFit="1" customWidth="1"/>
    <col min="12553" max="12553" width="17.7109375" style="4" bestFit="1" customWidth="1"/>
    <col min="12554" max="12554" width="13.5703125" style="4" customWidth="1"/>
    <col min="12555" max="12555" width="18.5703125" style="4" bestFit="1" customWidth="1"/>
    <col min="12556" max="12556" width="15.5703125" style="4" customWidth="1"/>
    <col min="12557" max="12557" width="13.5703125" style="4" customWidth="1"/>
    <col min="12558" max="12800" width="11.42578125" style="4"/>
    <col min="12801" max="12801" width="2.5703125" style="4" customWidth="1"/>
    <col min="12802" max="12802" width="22.42578125" style="4" customWidth="1"/>
    <col min="12803" max="12803" width="12.140625" style="4" bestFit="1" customWidth="1"/>
    <col min="12804" max="12804" width="8.140625" style="4" customWidth="1"/>
    <col min="12805" max="12805" width="8.5703125" style="4" customWidth="1"/>
    <col min="12806" max="12806" width="17" style="4" bestFit="1" customWidth="1"/>
    <col min="12807" max="12807" width="16.7109375" style="4" bestFit="1" customWidth="1"/>
    <col min="12808" max="12808" width="18" style="4" bestFit="1" customWidth="1"/>
    <col min="12809" max="12809" width="17.7109375" style="4" bestFit="1" customWidth="1"/>
    <col min="12810" max="12810" width="13.5703125" style="4" customWidth="1"/>
    <col min="12811" max="12811" width="18.5703125" style="4" bestFit="1" customWidth="1"/>
    <col min="12812" max="12812" width="15.5703125" style="4" customWidth="1"/>
    <col min="12813" max="12813" width="13.5703125" style="4" customWidth="1"/>
    <col min="12814" max="13056" width="11.42578125" style="4"/>
    <col min="13057" max="13057" width="2.5703125" style="4" customWidth="1"/>
    <col min="13058" max="13058" width="22.42578125" style="4" customWidth="1"/>
    <col min="13059" max="13059" width="12.140625" style="4" bestFit="1" customWidth="1"/>
    <col min="13060" max="13060" width="8.140625" style="4" customWidth="1"/>
    <col min="13061" max="13061" width="8.5703125" style="4" customWidth="1"/>
    <col min="13062" max="13062" width="17" style="4" bestFit="1" customWidth="1"/>
    <col min="13063" max="13063" width="16.7109375" style="4" bestFit="1" customWidth="1"/>
    <col min="13064" max="13064" width="18" style="4" bestFit="1" customWidth="1"/>
    <col min="13065" max="13065" width="17.7109375" style="4" bestFit="1" customWidth="1"/>
    <col min="13066" max="13066" width="13.5703125" style="4" customWidth="1"/>
    <col min="13067" max="13067" width="18.5703125" style="4" bestFit="1" customWidth="1"/>
    <col min="13068" max="13068" width="15.5703125" style="4" customWidth="1"/>
    <col min="13069" max="13069" width="13.5703125" style="4" customWidth="1"/>
    <col min="13070" max="13312" width="11.42578125" style="4"/>
    <col min="13313" max="13313" width="2.5703125" style="4" customWidth="1"/>
    <col min="13314" max="13314" width="22.42578125" style="4" customWidth="1"/>
    <col min="13315" max="13315" width="12.140625" style="4" bestFit="1" customWidth="1"/>
    <col min="13316" max="13316" width="8.140625" style="4" customWidth="1"/>
    <col min="13317" max="13317" width="8.5703125" style="4" customWidth="1"/>
    <col min="13318" max="13318" width="17" style="4" bestFit="1" customWidth="1"/>
    <col min="13319" max="13319" width="16.7109375" style="4" bestFit="1" customWidth="1"/>
    <col min="13320" max="13320" width="18" style="4" bestFit="1" customWidth="1"/>
    <col min="13321" max="13321" width="17.7109375" style="4" bestFit="1" customWidth="1"/>
    <col min="13322" max="13322" width="13.5703125" style="4" customWidth="1"/>
    <col min="13323" max="13323" width="18.5703125" style="4" bestFit="1" customWidth="1"/>
    <col min="13324" max="13324" width="15.5703125" style="4" customWidth="1"/>
    <col min="13325" max="13325" width="13.5703125" style="4" customWidth="1"/>
    <col min="13326" max="13568" width="11.42578125" style="4"/>
    <col min="13569" max="13569" width="2.5703125" style="4" customWidth="1"/>
    <col min="13570" max="13570" width="22.42578125" style="4" customWidth="1"/>
    <col min="13571" max="13571" width="12.140625" style="4" bestFit="1" customWidth="1"/>
    <col min="13572" max="13572" width="8.140625" style="4" customWidth="1"/>
    <col min="13573" max="13573" width="8.5703125" style="4" customWidth="1"/>
    <col min="13574" max="13574" width="17" style="4" bestFit="1" customWidth="1"/>
    <col min="13575" max="13575" width="16.7109375" style="4" bestFit="1" customWidth="1"/>
    <col min="13576" max="13576" width="18" style="4" bestFit="1" customWidth="1"/>
    <col min="13577" max="13577" width="17.7109375" style="4" bestFit="1" customWidth="1"/>
    <col min="13578" max="13578" width="13.5703125" style="4" customWidth="1"/>
    <col min="13579" max="13579" width="18.5703125" style="4" bestFit="1" customWidth="1"/>
    <col min="13580" max="13580" width="15.5703125" style="4" customWidth="1"/>
    <col min="13581" max="13581" width="13.5703125" style="4" customWidth="1"/>
    <col min="13582" max="13824" width="11.42578125" style="4"/>
    <col min="13825" max="13825" width="2.5703125" style="4" customWidth="1"/>
    <col min="13826" max="13826" width="22.42578125" style="4" customWidth="1"/>
    <col min="13827" max="13827" width="12.140625" style="4" bestFit="1" customWidth="1"/>
    <col min="13828" max="13828" width="8.140625" style="4" customWidth="1"/>
    <col min="13829" max="13829" width="8.5703125" style="4" customWidth="1"/>
    <col min="13830" max="13830" width="17" style="4" bestFit="1" customWidth="1"/>
    <col min="13831" max="13831" width="16.7109375" style="4" bestFit="1" customWidth="1"/>
    <col min="13832" max="13832" width="18" style="4" bestFit="1" customWidth="1"/>
    <col min="13833" max="13833" width="17.7109375" style="4" bestFit="1" customWidth="1"/>
    <col min="13834" max="13834" width="13.5703125" style="4" customWidth="1"/>
    <col min="13835" max="13835" width="18.5703125" style="4" bestFit="1" customWidth="1"/>
    <col min="13836" max="13836" width="15.5703125" style="4" customWidth="1"/>
    <col min="13837" max="13837" width="13.5703125" style="4" customWidth="1"/>
    <col min="13838" max="14080" width="11.42578125" style="4"/>
    <col min="14081" max="14081" width="2.5703125" style="4" customWidth="1"/>
    <col min="14082" max="14082" width="22.42578125" style="4" customWidth="1"/>
    <col min="14083" max="14083" width="12.140625" style="4" bestFit="1" customWidth="1"/>
    <col min="14084" max="14084" width="8.140625" style="4" customWidth="1"/>
    <col min="14085" max="14085" width="8.5703125" style="4" customWidth="1"/>
    <col min="14086" max="14086" width="17" style="4" bestFit="1" customWidth="1"/>
    <col min="14087" max="14087" width="16.7109375" style="4" bestFit="1" customWidth="1"/>
    <col min="14088" max="14088" width="18" style="4" bestFit="1" customWidth="1"/>
    <col min="14089" max="14089" width="17.7109375" style="4" bestFit="1" customWidth="1"/>
    <col min="14090" max="14090" width="13.5703125" style="4" customWidth="1"/>
    <col min="14091" max="14091" width="18.5703125" style="4" bestFit="1" customWidth="1"/>
    <col min="14092" max="14092" width="15.5703125" style="4" customWidth="1"/>
    <col min="14093" max="14093" width="13.5703125" style="4" customWidth="1"/>
    <col min="14094" max="14336" width="11.42578125" style="4"/>
    <col min="14337" max="14337" width="2.5703125" style="4" customWidth="1"/>
    <col min="14338" max="14338" width="22.42578125" style="4" customWidth="1"/>
    <col min="14339" max="14339" width="12.140625" style="4" bestFit="1" customWidth="1"/>
    <col min="14340" max="14340" width="8.140625" style="4" customWidth="1"/>
    <col min="14341" max="14341" width="8.5703125" style="4" customWidth="1"/>
    <col min="14342" max="14342" width="17" style="4" bestFit="1" customWidth="1"/>
    <col min="14343" max="14343" width="16.7109375" style="4" bestFit="1" customWidth="1"/>
    <col min="14344" max="14344" width="18" style="4" bestFit="1" customWidth="1"/>
    <col min="14345" max="14345" width="17.7109375" style="4" bestFit="1" customWidth="1"/>
    <col min="14346" max="14346" width="13.5703125" style="4" customWidth="1"/>
    <col min="14347" max="14347" width="18.5703125" style="4" bestFit="1" customWidth="1"/>
    <col min="14348" max="14348" width="15.5703125" style="4" customWidth="1"/>
    <col min="14349" max="14349" width="13.5703125" style="4" customWidth="1"/>
    <col min="14350" max="14592" width="11.42578125" style="4"/>
    <col min="14593" max="14593" width="2.5703125" style="4" customWidth="1"/>
    <col min="14594" max="14594" width="22.42578125" style="4" customWidth="1"/>
    <col min="14595" max="14595" width="12.140625" style="4" bestFit="1" customWidth="1"/>
    <col min="14596" max="14596" width="8.140625" style="4" customWidth="1"/>
    <col min="14597" max="14597" width="8.5703125" style="4" customWidth="1"/>
    <col min="14598" max="14598" width="17" style="4" bestFit="1" customWidth="1"/>
    <col min="14599" max="14599" width="16.7109375" style="4" bestFit="1" customWidth="1"/>
    <col min="14600" max="14600" width="18" style="4" bestFit="1" customWidth="1"/>
    <col min="14601" max="14601" width="17.7109375" style="4" bestFit="1" customWidth="1"/>
    <col min="14602" max="14602" width="13.5703125" style="4" customWidth="1"/>
    <col min="14603" max="14603" width="18.5703125" style="4" bestFit="1" customWidth="1"/>
    <col min="14604" max="14604" width="15.5703125" style="4" customWidth="1"/>
    <col min="14605" max="14605" width="13.5703125" style="4" customWidth="1"/>
    <col min="14606" max="14848" width="11.42578125" style="4"/>
    <col min="14849" max="14849" width="2.5703125" style="4" customWidth="1"/>
    <col min="14850" max="14850" width="22.42578125" style="4" customWidth="1"/>
    <col min="14851" max="14851" width="12.140625" style="4" bestFit="1" customWidth="1"/>
    <col min="14852" max="14852" width="8.140625" style="4" customWidth="1"/>
    <col min="14853" max="14853" width="8.5703125" style="4" customWidth="1"/>
    <col min="14854" max="14854" width="17" style="4" bestFit="1" customWidth="1"/>
    <col min="14855" max="14855" width="16.7109375" style="4" bestFit="1" customWidth="1"/>
    <col min="14856" max="14856" width="18" style="4" bestFit="1" customWidth="1"/>
    <col min="14857" max="14857" width="17.7109375" style="4" bestFit="1" customWidth="1"/>
    <col min="14858" max="14858" width="13.5703125" style="4" customWidth="1"/>
    <col min="14859" max="14859" width="18.5703125" style="4" bestFit="1" customWidth="1"/>
    <col min="14860" max="14860" width="15.5703125" style="4" customWidth="1"/>
    <col min="14861" max="14861" width="13.5703125" style="4" customWidth="1"/>
    <col min="14862" max="15104" width="11.42578125" style="4"/>
    <col min="15105" max="15105" width="2.5703125" style="4" customWidth="1"/>
    <col min="15106" max="15106" width="22.42578125" style="4" customWidth="1"/>
    <col min="15107" max="15107" width="12.140625" style="4" bestFit="1" customWidth="1"/>
    <col min="15108" max="15108" width="8.140625" style="4" customWidth="1"/>
    <col min="15109" max="15109" width="8.5703125" style="4" customWidth="1"/>
    <col min="15110" max="15110" width="17" style="4" bestFit="1" customWidth="1"/>
    <col min="15111" max="15111" width="16.7109375" style="4" bestFit="1" customWidth="1"/>
    <col min="15112" max="15112" width="18" style="4" bestFit="1" customWidth="1"/>
    <col min="15113" max="15113" width="17.7109375" style="4" bestFit="1" customWidth="1"/>
    <col min="15114" max="15114" width="13.5703125" style="4" customWidth="1"/>
    <col min="15115" max="15115" width="18.5703125" style="4" bestFit="1" customWidth="1"/>
    <col min="15116" max="15116" width="15.5703125" style="4" customWidth="1"/>
    <col min="15117" max="15117" width="13.5703125" style="4" customWidth="1"/>
    <col min="15118" max="15360" width="11.42578125" style="4"/>
    <col min="15361" max="15361" width="2.5703125" style="4" customWidth="1"/>
    <col min="15362" max="15362" width="22.42578125" style="4" customWidth="1"/>
    <col min="15363" max="15363" width="12.140625" style="4" bestFit="1" customWidth="1"/>
    <col min="15364" max="15364" width="8.140625" style="4" customWidth="1"/>
    <col min="15365" max="15365" width="8.5703125" style="4" customWidth="1"/>
    <col min="15366" max="15366" width="17" style="4" bestFit="1" customWidth="1"/>
    <col min="15367" max="15367" width="16.7109375" style="4" bestFit="1" customWidth="1"/>
    <col min="15368" max="15368" width="18" style="4" bestFit="1" customWidth="1"/>
    <col min="15369" max="15369" width="17.7109375" style="4" bestFit="1" customWidth="1"/>
    <col min="15370" max="15370" width="13.5703125" style="4" customWidth="1"/>
    <col min="15371" max="15371" width="18.5703125" style="4" bestFit="1" customWidth="1"/>
    <col min="15372" max="15372" width="15.5703125" style="4" customWidth="1"/>
    <col min="15373" max="15373" width="13.5703125" style="4" customWidth="1"/>
    <col min="15374" max="15616" width="11.42578125" style="4"/>
    <col min="15617" max="15617" width="2.5703125" style="4" customWidth="1"/>
    <col min="15618" max="15618" width="22.42578125" style="4" customWidth="1"/>
    <col min="15619" max="15619" width="12.140625" style="4" bestFit="1" customWidth="1"/>
    <col min="15620" max="15620" width="8.140625" style="4" customWidth="1"/>
    <col min="15621" max="15621" width="8.5703125" style="4" customWidth="1"/>
    <col min="15622" max="15622" width="17" style="4" bestFit="1" customWidth="1"/>
    <col min="15623" max="15623" width="16.7109375" style="4" bestFit="1" customWidth="1"/>
    <col min="15624" max="15624" width="18" style="4" bestFit="1" customWidth="1"/>
    <col min="15625" max="15625" width="17.7109375" style="4" bestFit="1" customWidth="1"/>
    <col min="15626" max="15626" width="13.5703125" style="4" customWidth="1"/>
    <col min="15627" max="15627" width="18.5703125" style="4" bestFit="1" customWidth="1"/>
    <col min="15628" max="15628" width="15.5703125" style="4" customWidth="1"/>
    <col min="15629" max="15629" width="13.5703125" style="4" customWidth="1"/>
    <col min="15630" max="15872" width="11.42578125" style="4"/>
    <col min="15873" max="15873" width="2.5703125" style="4" customWidth="1"/>
    <col min="15874" max="15874" width="22.42578125" style="4" customWidth="1"/>
    <col min="15875" max="15875" width="12.140625" style="4" bestFit="1" customWidth="1"/>
    <col min="15876" max="15876" width="8.140625" style="4" customWidth="1"/>
    <col min="15877" max="15877" width="8.5703125" style="4" customWidth="1"/>
    <col min="15878" max="15878" width="17" style="4" bestFit="1" customWidth="1"/>
    <col min="15879" max="15879" width="16.7109375" style="4" bestFit="1" customWidth="1"/>
    <col min="15880" max="15880" width="18" style="4" bestFit="1" customWidth="1"/>
    <col min="15881" max="15881" width="17.7109375" style="4" bestFit="1" customWidth="1"/>
    <col min="15882" max="15882" width="13.5703125" style="4" customWidth="1"/>
    <col min="15883" max="15883" width="18.5703125" style="4" bestFit="1" customWidth="1"/>
    <col min="15884" max="15884" width="15.5703125" style="4" customWidth="1"/>
    <col min="15885" max="15885" width="13.5703125" style="4" customWidth="1"/>
    <col min="15886" max="16128" width="11.42578125" style="4"/>
    <col min="16129" max="16129" width="2.5703125" style="4" customWidth="1"/>
    <col min="16130" max="16130" width="22.42578125" style="4" customWidth="1"/>
    <col min="16131" max="16131" width="12.140625" style="4" bestFit="1" customWidth="1"/>
    <col min="16132" max="16132" width="8.140625" style="4" customWidth="1"/>
    <col min="16133" max="16133" width="8.5703125" style="4" customWidth="1"/>
    <col min="16134" max="16134" width="17" style="4" bestFit="1" customWidth="1"/>
    <col min="16135" max="16135" width="16.7109375" style="4" bestFit="1" customWidth="1"/>
    <col min="16136" max="16136" width="18" style="4" bestFit="1" customWidth="1"/>
    <col min="16137" max="16137" width="17.7109375" style="4" bestFit="1" customWidth="1"/>
    <col min="16138" max="16138" width="13.5703125" style="4" customWidth="1"/>
    <col min="16139" max="16139" width="18.5703125" style="4" bestFit="1" customWidth="1"/>
    <col min="16140" max="16140" width="15.5703125" style="4" customWidth="1"/>
    <col min="16141" max="16141" width="13.5703125" style="4" customWidth="1"/>
    <col min="16142" max="16384" width="11.42578125" style="4"/>
  </cols>
  <sheetData>
    <row r="2" spans="1:13" x14ac:dyDescent="0.2">
      <c r="A2" s="1" t="s">
        <v>0</v>
      </c>
      <c r="B2" s="1"/>
      <c r="C2" s="2"/>
      <c r="D2" s="2"/>
      <c r="E2" s="3"/>
    </row>
    <row r="3" spans="1:13" x14ac:dyDescent="0.2">
      <c r="A3" s="6" t="s">
        <v>1</v>
      </c>
      <c r="B3" s="6"/>
      <c r="C3" s="2"/>
      <c r="D3" s="2"/>
    </row>
    <row r="4" spans="1:13" x14ac:dyDescent="0.2">
      <c r="A4" s="7" t="s">
        <v>90</v>
      </c>
      <c r="B4" s="6"/>
      <c r="C4" s="2"/>
      <c r="D4" s="2"/>
      <c r="M4" s="8"/>
    </row>
    <row r="5" spans="1:13" x14ac:dyDescent="0.2">
      <c r="A5" s="9" t="s">
        <v>3</v>
      </c>
      <c r="B5" s="9"/>
      <c r="C5" s="10" t="s">
        <v>4</v>
      </c>
      <c r="D5" s="75" t="s">
        <v>5</v>
      </c>
      <c r="E5" s="75"/>
      <c r="F5" s="10" t="s">
        <v>6</v>
      </c>
      <c r="G5" s="11" t="s">
        <v>7</v>
      </c>
      <c r="H5" s="11" t="s">
        <v>8</v>
      </c>
      <c r="I5" s="10" t="s">
        <v>9</v>
      </c>
      <c r="J5" s="10" t="s">
        <v>10</v>
      </c>
      <c r="K5" s="10" t="s">
        <v>10</v>
      </c>
      <c r="L5" s="10" t="s">
        <v>10</v>
      </c>
      <c r="M5" s="10" t="s">
        <v>10</v>
      </c>
    </row>
    <row r="6" spans="1:13" x14ac:dyDescent="0.2">
      <c r="C6" s="12" t="s">
        <v>11</v>
      </c>
      <c r="D6" s="13" t="s">
        <v>12</v>
      </c>
      <c r="E6" s="13" t="s">
        <v>13</v>
      </c>
      <c r="F6" s="12" t="s">
        <v>14</v>
      </c>
      <c r="G6" s="12" t="s">
        <v>15</v>
      </c>
      <c r="H6" s="13" t="s">
        <v>16</v>
      </c>
      <c r="I6" s="13" t="s">
        <v>17</v>
      </c>
      <c r="J6" s="13" t="s">
        <v>18</v>
      </c>
      <c r="K6" s="13" t="s">
        <v>19</v>
      </c>
      <c r="L6" s="14" t="s">
        <v>20</v>
      </c>
      <c r="M6" s="15" t="s">
        <v>21</v>
      </c>
    </row>
    <row r="7" spans="1:13" x14ac:dyDescent="0.2">
      <c r="A7" s="8"/>
      <c r="B7" s="8"/>
      <c r="C7" s="8"/>
      <c r="D7" s="8"/>
      <c r="E7" s="8"/>
      <c r="F7" s="16" t="s">
        <v>22</v>
      </c>
      <c r="G7" s="16" t="s">
        <v>11</v>
      </c>
      <c r="H7" s="16" t="s">
        <v>22</v>
      </c>
      <c r="I7" s="17"/>
      <c r="J7" s="8"/>
      <c r="K7" s="8"/>
      <c r="L7" s="8"/>
      <c r="M7" s="8"/>
    </row>
    <row r="8" spans="1:13" x14ac:dyDescent="0.2">
      <c r="F8" s="12"/>
      <c r="G8" s="12"/>
      <c r="H8" s="12"/>
      <c r="I8" s="13"/>
    </row>
    <row r="9" spans="1:13" x14ac:dyDescent="0.2">
      <c r="A9" s="76" t="s">
        <v>23</v>
      </c>
      <c r="B9" s="76"/>
      <c r="C9" s="4">
        <v>1976493</v>
      </c>
      <c r="D9" s="19">
        <v>0.96</v>
      </c>
      <c r="E9" s="19">
        <v>0.54</v>
      </c>
      <c r="F9" s="4">
        <v>3726289</v>
      </c>
      <c r="G9" s="4">
        <f>+J9+K9+L9+M9</f>
        <v>4291649</v>
      </c>
      <c r="H9" s="20">
        <f t="shared" ref="H9:H34" si="0">G9-F9</f>
        <v>565360</v>
      </c>
      <c r="I9" s="4">
        <v>225935</v>
      </c>
      <c r="J9" s="4">
        <v>0</v>
      </c>
      <c r="K9" s="4">
        <f>227116+917496+709349</f>
        <v>1853961</v>
      </c>
      <c r="L9" s="4">
        <v>0</v>
      </c>
      <c r="M9" s="4">
        <v>2437688</v>
      </c>
    </row>
    <row r="10" spans="1:13" x14ac:dyDescent="0.2">
      <c r="A10" s="76" t="s">
        <v>82</v>
      </c>
      <c r="B10" s="76"/>
      <c r="C10" s="4">
        <v>1594580</v>
      </c>
      <c r="D10" s="19">
        <v>0.02</v>
      </c>
      <c r="E10" s="19">
        <v>0.02</v>
      </c>
      <c r="F10" s="4">
        <v>1594580</v>
      </c>
      <c r="G10" s="4">
        <f>+J10+K10+L10+M10</f>
        <v>1699307</v>
      </c>
      <c r="H10" s="20">
        <f>G10-F10</f>
        <v>104727</v>
      </c>
      <c r="I10" s="4">
        <v>95289</v>
      </c>
      <c r="J10" s="4">
        <v>0</v>
      </c>
      <c r="K10" s="4">
        <v>0</v>
      </c>
      <c r="L10" s="4">
        <v>0</v>
      </c>
      <c r="M10" s="4">
        <v>1699307</v>
      </c>
    </row>
    <row r="11" spans="1:13" s="20" customFormat="1" x14ac:dyDescent="0.2">
      <c r="A11" s="5" t="s">
        <v>25</v>
      </c>
      <c r="B11" s="7"/>
      <c r="C11" s="4">
        <v>13037245</v>
      </c>
      <c r="D11" s="19">
        <v>0.98</v>
      </c>
      <c r="E11" s="19">
        <v>0.35</v>
      </c>
      <c r="F11" s="4">
        <v>37323020</v>
      </c>
      <c r="G11" s="20">
        <f t="shared" ref="G11:G34" si="1">+J11+K11+L11+M11</f>
        <v>40742861</v>
      </c>
      <c r="H11" s="20">
        <f t="shared" si="0"/>
        <v>3419841</v>
      </c>
      <c r="I11" s="4">
        <v>16574772</v>
      </c>
      <c r="J11" s="4">
        <v>0</v>
      </c>
      <c r="K11" s="4">
        <f>2676342+20693514+929470</f>
        <v>24299326</v>
      </c>
      <c r="L11" s="4">
        <v>50862</v>
      </c>
      <c r="M11" s="4">
        <v>16392673</v>
      </c>
    </row>
    <row r="12" spans="1:13" s="20" customFormat="1" x14ac:dyDescent="0.2">
      <c r="A12" s="5" t="s">
        <v>26</v>
      </c>
      <c r="B12" s="5"/>
      <c r="C12" s="4">
        <v>3764832</v>
      </c>
      <c r="D12" s="19">
        <v>2.6</v>
      </c>
      <c r="E12" s="19">
        <v>0.69</v>
      </c>
      <c r="F12" s="4">
        <v>14469046</v>
      </c>
      <c r="G12" s="20">
        <f t="shared" si="1"/>
        <v>16091841</v>
      </c>
      <c r="H12" s="20">
        <f t="shared" si="0"/>
        <v>1622795</v>
      </c>
      <c r="I12" s="4">
        <v>998692</v>
      </c>
      <c r="J12" s="4">
        <v>0</v>
      </c>
      <c r="K12" s="4">
        <f>1656742+8677831+11943+396653</f>
        <v>10743169</v>
      </c>
      <c r="L12" s="4">
        <v>0</v>
      </c>
      <c r="M12" s="4">
        <v>5348672</v>
      </c>
    </row>
    <row r="13" spans="1:13" x14ac:dyDescent="0.2">
      <c r="A13" s="5" t="s">
        <v>27</v>
      </c>
      <c r="B13" s="5"/>
      <c r="C13" s="4">
        <v>5681310</v>
      </c>
      <c r="D13" s="19">
        <v>5.73</v>
      </c>
      <c r="E13" s="19">
        <v>0.12</v>
      </c>
      <c r="F13" s="4">
        <v>80649614</v>
      </c>
      <c r="G13" s="4">
        <f>+J13+K13+L13+M13</f>
        <v>88778627</v>
      </c>
      <c r="H13" s="20">
        <f>G13-F13</f>
        <v>8129013</v>
      </c>
      <c r="I13" s="4">
        <v>569808</v>
      </c>
      <c r="J13" s="4">
        <v>71217540</v>
      </c>
      <c r="K13" s="4">
        <f>552230+3198534</f>
        <v>3750764</v>
      </c>
      <c r="L13" s="4">
        <v>0</v>
      </c>
      <c r="M13" s="4">
        <v>13810323</v>
      </c>
    </row>
    <row r="14" spans="1:13" x14ac:dyDescent="0.2">
      <c r="A14" s="5" t="s">
        <v>28</v>
      </c>
      <c r="B14" s="5"/>
      <c r="C14" s="4">
        <v>6665928</v>
      </c>
      <c r="D14" s="19">
        <v>5.13</v>
      </c>
      <c r="E14" s="19">
        <v>0.88</v>
      </c>
      <c r="F14" s="4">
        <v>45445241</v>
      </c>
      <c r="G14" s="20">
        <f>+J14+K14+L14+M14</f>
        <v>48111612</v>
      </c>
      <c r="H14" s="20">
        <f>G14-F14</f>
        <v>2666371</v>
      </c>
      <c r="I14" s="4">
        <v>215875</v>
      </c>
      <c r="J14" s="4">
        <v>21411086</v>
      </c>
      <c r="K14" s="4">
        <f>2059093+7532198+516829+7479102</f>
        <v>17587222</v>
      </c>
      <c r="L14" s="4">
        <v>0</v>
      </c>
      <c r="M14" s="4">
        <v>9113304</v>
      </c>
    </row>
    <row r="15" spans="1:13" x14ac:dyDescent="0.2">
      <c r="A15" s="77" t="s">
        <v>29</v>
      </c>
      <c r="B15" s="78"/>
      <c r="C15" s="4">
        <v>85133987</v>
      </c>
      <c r="D15" s="19">
        <v>3.45</v>
      </c>
      <c r="E15" s="19">
        <v>0.14000000000000001</v>
      </c>
      <c r="F15" s="4">
        <v>1271632019</v>
      </c>
      <c r="G15" s="4">
        <f>+J15+K15+L15+M15</f>
        <v>1284711859</v>
      </c>
      <c r="H15" s="20">
        <f t="shared" si="0"/>
        <v>13079840</v>
      </c>
      <c r="I15" s="4">
        <v>38684371</v>
      </c>
      <c r="J15" s="4">
        <v>1147162487</v>
      </c>
      <c r="K15" s="4">
        <f>3273452+29315643+0+6031899</f>
        <v>38620994</v>
      </c>
      <c r="L15" s="4">
        <v>306149</v>
      </c>
      <c r="M15" s="4">
        <v>98622229</v>
      </c>
    </row>
    <row r="16" spans="1:13" s="20" customFormat="1" x14ac:dyDescent="0.2">
      <c r="A16" s="5" t="s">
        <v>30</v>
      </c>
      <c r="B16" s="7"/>
      <c r="C16" s="4">
        <v>4909367</v>
      </c>
      <c r="D16" s="19">
        <v>2.96</v>
      </c>
      <c r="E16" s="19">
        <v>0.74</v>
      </c>
      <c r="F16" s="4">
        <v>19747227</v>
      </c>
      <c r="G16" s="20">
        <f>+J16+K16+L16+M16</f>
        <v>20227703</v>
      </c>
      <c r="H16" s="20">
        <f t="shared" si="0"/>
        <v>480476</v>
      </c>
      <c r="I16" s="4">
        <v>238727</v>
      </c>
      <c r="J16" s="4">
        <v>0</v>
      </c>
      <c r="K16" s="4">
        <f>1537208+13300652</f>
        <v>14837860</v>
      </c>
      <c r="L16" s="4">
        <v>0</v>
      </c>
      <c r="M16" s="4">
        <v>5389843</v>
      </c>
    </row>
    <row r="17" spans="1:13" x14ac:dyDescent="0.2">
      <c r="A17" s="5" t="s">
        <v>31</v>
      </c>
      <c r="B17" s="7"/>
      <c r="C17" s="4">
        <v>39427028</v>
      </c>
      <c r="D17" s="19">
        <v>7.3</v>
      </c>
      <c r="E17" s="19">
        <v>0.38</v>
      </c>
      <c r="F17" s="4">
        <v>618747636</v>
      </c>
      <c r="G17" s="4">
        <f t="shared" si="1"/>
        <v>654561785</v>
      </c>
      <c r="H17" s="20">
        <f t="shared" si="0"/>
        <v>35814149</v>
      </c>
      <c r="I17" s="4">
        <v>3645493</v>
      </c>
      <c r="J17" s="4">
        <v>505109618</v>
      </c>
      <c r="K17" s="4">
        <f>11328231+31021073+6546903+25694853</f>
        <v>74591060</v>
      </c>
      <c r="L17" s="4">
        <v>479461</v>
      </c>
      <c r="M17" s="4">
        <v>74381646</v>
      </c>
    </row>
    <row r="18" spans="1:13" s="23" customFormat="1" x14ac:dyDescent="0.2">
      <c r="A18" s="5" t="s">
        <v>32</v>
      </c>
      <c r="B18" s="5"/>
      <c r="C18" s="20">
        <v>7470746</v>
      </c>
      <c r="D18" s="22">
        <v>4.82</v>
      </c>
      <c r="E18" s="22">
        <v>0.11</v>
      </c>
      <c r="F18" s="20">
        <v>96387171</v>
      </c>
      <c r="G18" s="20">
        <f t="shared" si="1"/>
        <v>107861212</v>
      </c>
      <c r="H18" s="20">
        <f t="shared" si="0"/>
        <v>11474041</v>
      </c>
      <c r="I18" s="20">
        <v>149459</v>
      </c>
      <c r="J18" s="20">
        <v>97005742</v>
      </c>
      <c r="K18" s="20">
        <f>1409734+946253+1028737</f>
        <v>3384724</v>
      </c>
      <c r="L18" s="20">
        <v>0</v>
      </c>
      <c r="M18" s="20">
        <v>7470746</v>
      </c>
    </row>
    <row r="19" spans="1:13" x14ac:dyDescent="0.2">
      <c r="A19" s="5" t="s">
        <v>33</v>
      </c>
      <c r="B19" s="7"/>
      <c r="C19" s="4">
        <v>18110760</v>
      </c>
      <c r="D19" s="19">
        <v>5.39</v>
      </c>
      <c r="E19" s="19">
        <v>0.28000000000000003</v>
      </c>
      <c r="F19" s="4">
        <v>293060600</v>
      </c>
      <c r="G19" s="4">
        <f>+J19+K19+L19+M19</f>
        <v>328021397</v>
      </c>
      <c r="H19" s="20">
        <f t="shared" si="0"/>
        <v>34960797</v>
      </c>
      <c r="I19" s="4">
        <v>253192</v>
      </c>
      <c r="J19" s="4">
        <v>273198471</v>
      </c>
      <c r="K19" s="4">
        <f>27474+1723895</f>
        <v>1751369</v>
      </c>
      <c r="L19" s="4">
        <v>0</v>
      </c>
      <c r="M19" s="4">
        <v>53071557</v>
      </c>
    </row>
    <row r="20" spans="1:13" x14ac:dyDescent="0.2">
      <c r="A20" s="5" t="s">
        <v>34</v>
      </c>
      <c r="B20" s="5"/>
      <c r="C20" s="4">
        <v>121972592</v>
      </c>
      <c r="D20" s="19">
        <v>6.74</v>
      </c>
      <c r="E20" s="19">
        <v>0.51</v>
      </c>
      <c r="F20" s="4">
        <v>1663942814</v>
      </c>
      <c r="G20" s="4">
        <f t="shared" si="1"/>
        <v>1769622221</v>
      </c>
      <c r="H20" s="20">
        <f t="shared" si="0"/>
        <v>105679407</v>
      </c>
      <c r="I20" s="4">
        <v>22558663</v>
      </c>
      <c r="J20" s="4">
        <v>1424656770</v>
      </c>
      <c r="K20" s="4">
        <f>1807241+43413633+17955943+46834472</f>
        <v>110011289</v>
      </c>
      <c r="L20" s="4">
        <v>432131</v>
      </c>
      <c r="M20" s="4">
        <v>234522031</v>
      </c>
    </row>
    <row r="21" spans="1:13" x14ac:dyDescent="0.2">
      <c r="A21" s="5" t="s">
        <v>36</v>
      </c>
      <c r="B21" s="5"/>
      <c r="C21" s="4">
        <v>20753563</v>
      </c>
      <c r="D21" s="19">
        <v>6.39</v>
      </c>
      <c r="E21" s="19">
        <v>0.19</v>
      </c>
      <c r="F21" s="4">
        <v>282052701</v>
      </c>
      <c r="G21" s="4">
        <f t="shared" si="1"/>
        <v>298050122</v>
      </c>
      <c r="H21" s="20">
        <f t="shared" si="0"/>
        <v>15997421</v>
      </c>
      <c r="I21" s="4">
        <v>8657259</v>
      </c>
      <c r="J21" s="4">
        <v>235766784</v>
      </c>
      <c r="K21" s="4">
        <f>2245152+9546618+4200757+13386070</f>
        <v>29378597</v>
      </c>
      <c r="L21" s="4">
        <v>130897</v>
      </c>
      <c r="M21" s="4">
        <v>32773844</v>
      </c>
    </row>
    <row r="22" spans="1:13" x14ac:dyDescent="0.2">
      <c r="A22" s="5" t="s">
        <v>37</v>
      </c>
      <c r="B22" s="5"/>
      <c r="C22" s="4">
        <v>22389263</v>
      </c>
      <c r="D22" s="19">
        <v>10.11</v>
      </c>
      <c r="E22" s="19">
        <v>0.62</v>
      </c>
      <c r="F22" s="4">
        <v>365378047</v>
      </c>
      <c r="G22" s="4">
        <f t="shared" si="1"/>
        <v>369421582</v>
      </c>
      <c r="H22" s="20">
        <f t="shared" si="0"/>
        <v>4043535</v>
      </c>
      <c r="I22" s="4">
        <v>1907851</v>
      </c>
      <c r="J22" s="4">
        <v>284636876</v>
      </c>
      <c r="K22" s="4">
        <f>2442496+13246263+20461873+25924081</f>
        <v>62074713</v>
      </c>
      <c r="L22" s="4">
        <v>176225</v>
      </c>
      <c r="M22" s="4">
        <v>22533768</v>
      </c>
    </row>
    <row r="23" spans="1:13" x14ac:dyDescent="0.2">
      <c r="A23" s="5" t="s">
        <v>38</v>
      </c>
      <c r="B23" s="5"/>
      <c r="C23" s="4">
        <v>1594580</v>
      </c>
      <c r="D23" s="19">
        <v>1.1499999999999999</v>
      </c>
      <c r="E23" s="19">
        <v>0.06</v>
      </c>
      <c r="F23" s="4">
        <v>4573411</v>
      </c>
      <c r="G23" s="4">
        <f t="shared" si="1"/>
        <v>5586457</v>
      </c>
      <c r="H23" s="20">
        <f t="shared" si="0"/>
        <v>1013046</v>
      </c>
      <c r="I23" s="4">
        <v>162304</v>
      </c>
      <c r="J23" s="4">
        <v>0</v>
      </c>
      <c r="K23" s="4">
        <f>262936+2715895</f>
        <v>2978831</v>
      </c>
      <c r="L23" s="4">
        <v>0</v>
      </c>
      <c r="M23" s="4">
        <v>2607626</v>
      </c>
    </row>
    <row r="24" spans="1:13" s="2" customFormat="1" x14ac:dyDescent="0.2">
      <c r="A24" s="5" t="s">
        <v>39</v>
      </c>
      <c r="B24" s="5"/>
      <c r="C24" s="4">
        <v>90386754</v>
      </c>
      <c r="D24" s="19">
        <v>10.4</v>
      </c>
      <c r="E24" s="19">
        <v>0.22</v>
      </c>
      <c r="F24" s="4">
        <v>1427861068</v>
      </c>
      <c r="G24" s="20">
        <f t="shared" si="1"/>
        <v>1434351932</v>
      </c>
      <c r="H24" s="20">
        <f t="shared" si="0"/>
        <v>6490864</v>
      </c>
      <c r="I24" s="4">
        <v>26839650</v>
      </c>
      <c r="J24" s="4">
        <v>1227055265</v>
      </c>
      <c r="K24" s="4">
        <f>4532776+52800413+10106096+33859250</f>
        <v>101298535</v>
      </c>
      <c r="L24" s="4">
        <v>261971</v>
      </c>
      <c r="M24" s="4">
        <v>105736161</v>
      </c>
    </row>
    <row r="25" spans="1:13" s="2" customFormat="1" x14ac:dyDescent="0.2">
      <c r="A25" s="5" t="s">
        <v>40</v>
      </c>
      <c r="B25" s="5"/>
      <c r="C25" s="4">
        <v>16796544</v>
      </c>
      <c r="D25" s="19">
        <v>3.13</v>
      </c>
      <c r="E25" s="19">
        <v>0.5</v>
      </c>
      <c r="F25" s="4">
        <v>136047537</v>
      </c>
      <c r="G25" s="20">
        <f t="shared" si="1"/>
        <v>146770780</v>
      </c>
      <c r="H25" s="20">
        <f>G25-F25</f>
        <v>10723243</v>
      </c>
      <c r="I25" s="4">
        <v>9540712</v>
      </c>
      <c r="J25" s="4">
        <v>42325958</v>
      </c>
      <c r="K25" s="4">
        <f>4212611+45680990+486257+37268420</f>
        <v>87648278</v>
      </c>
      <c r="L25" s="4">
        <v>0</v>
      </c>
      <c r="M25" s="4">
        <v>16796544</v>
      </c>
    </row>
    <row r="26" spans="1:13" x14ac:dyDescent="0.2">
      <c r="A26" s="5" t="s">
        <v>91</v>
      </c>
      <c r="B26" s="7"/>
      <c r="C26" s="4">
        <v>32115588</v>
      </c>
      <c r="D26" s="19">
        <v>10.79</v>
      </c>
      <c r="E26" s="19">
        <v>0.04</v>
      </c>
      <c r="F26" s="4">
        <v>512215246</v>
      </c>
      <c r="G26" s="4">
        <f t="shared" si="1"/>
        <v>523075782</v>
      </c>
      <c r="H26" s="20">
        <f>G26-F26</f>
        <v>10860536</v>
      </c>
      <c r="I26" s="4">
        <v>95858</v>
      </c>
      <c r="J26" s="4">
        <v>443553674</v>
      </c>
      <c r="K26" s="4">
        <f>36545984+0</f>
        <v>36545984</v>
      </c>
      <c r="L26" s="4">
        <v>0</v>
      </c>
      <c r="M26" s="4">
        <v>42976124</v>
      </c>
    </row>
    <row r="27" spans="1:13" s="20" customFormat="1" x14ac:dyDescent="0.2">
      <c r="A27" s="5" t="s">
        <v>42</v>
      </c>
      <c r="B27" s="5"/>
      <c r="C27" s="4">
        <v>1594580</v>
      </c>
      <c r="D27" s="19">
        <v>5.17</v>
      </c>
      <c r="E27" s="19">
        <v>0.24</v>
      </c>
      <c r="F27" s="4">
        <v>19498847</v>
      </c>
      <c r="G27" s="20">
        <f t="shared" si="1"/>
        <v>21193984</v>
      </c>
      <c r="H27" s="20">
        <f t="shared" ref="H27:H33" si="2">G27-F27</f>
        <v>1695137</v>
      </c>
      <c r="I27" s="4">
        <v>26837</v>
      </c>
      <c r="J27" s="4">
        <v>16820475</v>
      </c>
      <c r="K27" s="4">
        <f>138199+697186+251250</f>
        <v>1086635</v>
      </c>
      <c r="L27" s="4">
        <v>0</v>
      </c>
      <c r="M27" s="4">
        <v>3286874</v>
      </c>
    </row>
    <row r="28" spans="1:13" s="20" customFormat="1" x14ac:dyDescent="0.2">
      <c r="A28" s="5" t="s">
        <v>43</v>
      </c>
      <c r="B28" s="5"/>
      <c r="C28" s="4">
        <v>72101848</v>
      </c>
      <c r="D28" s="19">
        <v>9.31</v>
      </c>
      <c r="E28" s="19">
        <v>0.28000000000000003</v>
      </c>
      <c r="F28" s="4">
        <v>1087215804</v>
      </c>
      <c r="G28" s="20">
        <f t="shared" si="1"/>
        <v>1091939278</v>
      </c>
      <c r="H28" s="20">
        <f t="shared" si="2"/>
        <v>4723474</v>
      </c>
      <c r="I28" s="4">
        <v>8060968</v>
      </c>
      <c r="J28" s="4">
        <v>971439172</v>
      </c>
      <c r="K28" s="4">
        <f>7311557+12605201+838391+22262838</f>
        <v>43017987</v>
      </c>
      <c r="L28" s="4">
        <v>126666</v>
      </c>
      <c r="M28" s="4">
        <v>77355453</v>
      </c>
    </row>
    <row r="29" spans="1:13" x14ac:dyDescent="0.2">
      <c r="A29" s="5" t="s">
        <v>44</v>
      </c>
      <c r="B29" s="5"/>
      <c r="C29" s="4">
        <v>18487317</v>
      </c>
      <c r="D29" s="19">
        <v>11.51</v>
      </c>
      <c r="E29" s="19">
        <v>0.04</v>
      </c>
      <c r="F29" s="4">
        <v>308401157</v>
      </c>
      <c r="G29" s="4">
        <f t="shared" si="1"/>
        <v>311884818</v>
      </c>
      <c r="H29" s="20">
        <f t="shared" si="2"/>
        <v>3483661</v>
      </c>
      <c r="I29" s="4">
        <v>159247</v>
      </c>
      <c r="J29" s="4">
        <v>286404539</v>
      </c>
      <c r="K29" s="4">
        <f>247990+3259386+1925</f>
        <v>3509301</v>
      </c>
      <c r="L29" s="4">
        <v>0</v>
      </c>
      <c r="M29" s="4">
        <v>21970978</v>
      </c>
    </row>
    <row r="30" spans="1:13" s="20" customFormat="1" x14ac:dyDescent="0.2">
      <c r="A30" s="5" t="s">
        <v>45</v>
      </c>
      <c r="B30" s="7"/>
      <c r="C30" s="4">
        <v>33574017</v>
      </c>
      <c r="D30" s="19">
        <v>8.67</v>
      </c>
      <c r="E30" s="19">
        <v>0.21</v>
      </c>
      <c r="F30" s="4">
        <v>555256138</v>
      </c>
      <c r="G30" s="20">
        <f>+J30+K30+L30+M30</f>
        <v>571516533</v>
      </c>
      <c r="H30" s="20">
        <f>G30-F30</f>
        <v>16260395</v>
      </c>
      <c r="I30" s="4">
        <v>5403790</v>
      </c>
      <c r="J30" s="4">
        <v>508608760</v>
      </c>
      <c r="K30" s="4">
        <f>351850+1857623+12209379+0</f>
        <v>14418852</v>
      </c>
      <c r="L30" s="4">
        <v>157170</v>
      </c>
      <c r="M30" s="4">
        <v>48331751</v>
      </c>
    </row>
    <row r="31" spans="1:13" s="20" customFormat="1" x14ac:dyDescent="0.2">
      <c r="A31" s="5" t="s">
        <v>46</v>
      </c>
      <c r="B31" s="7"/>
      <c r="C31" s="4">
        <v>62739363</v>
      </c>
      <c r="D31" s="19">
        <v>12.82</v>
      </c>
      <c r="E31" s="19">
        <v>0.28999999999999998</v>
      </c>
      <c r="F31" s="4">
        <v>1034877150</v>
      </c>
      <c r="G31" s="20">
        <f t="shared" si="1"/>
        <v>1043670322</v>
      </c>
      <c r="H31" s="20">
        <f t="shared" si="2"/>
        <v>8793172</v>
      </c>
      <c r="I31" s="4">
        <v>7868995</v>
      </c>
      <c r="J31" s="4">
        <v>962784889</v>
      </c>
      <c r="K31" s="4">
        <f>1096854+4941197+1537123+2061679</f>
        <v>9636853</v>
      </c>
      <c r="L31" s="4">
        <v>0</v>
      </c>
      <c r="M31" s="4">
        <v>71248580</v>
      </c>
    </row>
    <row r="32" spans="1:13" x14ac:dyDescent="0.2">
      <c r="A32" s="5" t="s">
        <v>47</v>
      </c>
      <c r="B32" s="5"/>
      <c r="C32" s="4">
        <v>16356285</v>
      </c>
      <c r="D32" s="19">
        <v>8.8000000000000007</v>
      </c>
      <c r="E32" s="19">
        <v>0.19</v>
      </c>
      <c r="F32" s="4">
        <v>272415361</v>
      </c>
      <c r="G32" s="4">
        <f t="shared" si="1"/>
        <v>274503864</v>
      </c>
      <c r="H32" s="20">
        <f t="shared" si="2"/>
        <v>2088503</v>
      </c>
      <c r="I32" s="4">
        <v>12213067</v>
      </c>
      <c r="J32" s="4">
        <v>255011679</v>
      </c>
      <c r="K32" s="4">
        <f>636906+171393+244911</f>
        <v>1053210</v>
      </c>
      <c r="L32" s="4">
        <v>1506</v>
      </c>
      <c r="M32" s="4">
        <v>18437469</v>
      </c>
    </row>
    <row r="33" spans="1:13" s="20" customFormat="1" x14ac:dyDescent="0.2">
      <c r="A33" s="5" t="s">
        <v>92</v>
      </c>
      <c r="B33" s="5"/>
      <c r="C33" s="4">
        <v>6099825</v>
      </c>
      <c r="D33" s="19">
        <v>7.01</v>
      </c>
      <c r="E33" s="19">
        <v>0.68</v>
      </c>
      <c r="F33" s="4">
        <v>61528821</v>
      </c>
      <c r="G33" s="4">
        <f t="shared" si="1"/>
        <v>60752631</v>
      </c>
      <c r="H33" s="20">
        <f t="shared" si="2"/>
        <v>-776190</v>
      </c>
      <c r="I33" s="4">
        <v>2863897</v>
      </c>
      <c r="J33" s="4">
        <v>38047129</v>
      </c>
      <c r="K33" s="4">
        <f>1561405+3715760+8049654+4206331</f>
        <v>17533150</v>
      </c>
      <c r="L33" s="4">
        <v>574557</v>
      </c>
      <c r="M33" s="4">
        <v>4597795</v>
      </c>
    </row>
    <row r="34" spans="1:13" x14ac:dyDescent="0.2">
      <c r="A34" s="5" t="s">
        <v>49</v>
      </c>
      <c r="B34" s="5"/>
      <c r="C34" s="4">
        <v>53925121</v>
      </c>
      <c r="D34" s="19">
        <v>9.0299999999999994</v>
      </c>
      <c r="E34" s="19">
        <v>0.16</v>
      </c>
      <c r="F34" s="4">
        <v>840011658</v>
      </c>
      <c r="G34" s="20">
        <f t="shared" si="1"/>
        <v>861882016</v>
      </c>
      <c r="H34" s="20">
        <f t="shared" si="0"/>
        <v>21870358</v>
      </c>
      <c r="I34" s="4">
        <v>4157347</v>
      </c>
      <c r="J34" s="4">
        <v>766615503</v>
      </c>
      <c r="K34" s="4">
        <f>623642+7428557+5286669+6909037</f>
        <v>20247905</v>
      </c>
      <c r="L34" s="4">
        <v>0</v>
      </c>
      <c r="M34" s="4">
        <v>75018608</v>
      </c>
    </row>
    <row r="35" spans="1:13" x14ac:dyDescent="0.2">
      <c r="A35" s="24" t="s">
        <v>50</v>
      </c>
      <c r="B35" s="24"/>
      <c r="C35" s="25">
        <f>SUM(C9:C34)</f>
        <v>758659516</v>
      </c>
      <c r="D35" s="26"/>
      <c r="E35" s="26"/>
      <c r="F35" s="25">
        <f t="shared" ref="F35:M35" si="3">SUM(F9:F34)</f>
        <v>11054058203</v>
      </c>
      <c r="G35" s="25">
        <f t="shared" si="3"/>
        <v>11379322175</v>
      </c>
      <c r="H35" s="25">
        <f t="shared" si="3"/>
        <v>325263972</v>
      </c>
      <c r="I35" s="25">
        <f t="shared" si="3"/>
        <v>172168058</v>
      </c>
      <c r="J35" s="25">
        <f t="shared" si="3"/>
        <v>9578832417</v>
      </c>
      <c r="K35" s="25">
        <f t="shared" si="3"/>
        <v>731860569</v>
      </c>
      <c r="L35" s="25">
        <f t="shared" si="3"/>
        <v>2697595</v>
      </c>
      <c r="M35" s="25">
        <f t="shared" si="3"/>
        <v>1065931594</v>
      </c>
    </row>
    <row r="36" spans="1:13" x14ac:dyDescent="0.2">
      <c r="A36" s="27"/>
      <c r="B36" s="27"/>
      <c r="D36" s="19"/>
      <c r="E36" s="19"/>
      <c r="M36" s="28"/>
    </row>
    <row r="37" spans="1:13" s="20" customFormat="1" x14ac:dyDescent="0.2">
      <c r="A37" s="5" t="s">
        <v>51</v>
      </c>
      <c r="B37" s="7"/>
      <c r="C37" s="4">
        <v>2611243</v>
      </c>
      <c r="D37" s="19">
        <v>2.2599999999999998</v>
      </c>
      <c r="E37" s="19">
        <v>0.09</v>
      </c>
      <c r="F37" s="4">
        <v>42648784</v>
      </c>
      <c r="G37" s="4">
        <f>+J37+K37+L37+M37</f>
        <v>47283057</v>
      </c>
      <c r="H37" s="20">
        <f>G37-F37</f>
        <v>4634273</v>
      </c>
      <c r="I37" s="4">
        <v>10554602</v>
      </c>
      <c r="J37" s="4">
        <v>39940096</v>
      </c>
      <c r="K37" s="4">
        <f>79850+17595</f>
        <v>97445</v>
      </c>
      <c r="L37" s="4">
        <v>0</v>
      </c>
      <c r="M37" s="4">
        <v>7245516</v>
      </c>
    </row>
    <row r="38" spans="1:13" x14ac:dyDescent="0.2">
      <c r="A38" s="29" t="s">
        <v>52</v>
      </c>
      <c r="B38" s="29"/>
      <c r="C38" s="25">
        <f t="shared" ref="C38:H38" si="4">SUM(C37:C37)</f>
        <v>2611243</v>
      </c>
      <c r="D38" s="26"/>
      <c r="E38" s="26"/>
      <c r="F38" s="25">
        <f t="shared" si="4"/>
        <v>42648784</v>
      </c>
      <c r="G38" s="25">
        <f t="shared" si="4"/>
        <v>47283057</v>
      </c>
      <c r="H38" s="25">
        <f t="shared" si="4"/>
        <v>4634273</v>
      </c>
      <c r="I38" s="25">
        <f>SUM(I37:I37)</f>
        <v>10554602</v>
      </c>
      <c r="J38" s="25">
        <f>SUM(J37:J37)</f>
        <v>39940096</v>
      </c>
      <c r="K38" s="25">
        <f>SUM(K37:K37)</f>
        <v>97445</v>
      </c>
      <c r="L38" s="25">
        <f>SUM(L37:L37)</f>
        <v>0</v>
      </c>
      <c r="M38" s="25">
        <f>SUM(M37:M37)</f>
        <v>7245516</v>
      </c>
    </row>
    <row r="39" spans="1:13" x14ac:dyDescent="0.2">
      <c r="D39" s="19"/>
      <c r="E39" s="19"/>
      <c r="I39" s="20"/>
      <c r="J39" s="20"/>
      <c r="K39" s="20"/>
      <c r="M39" s="28"/>
    </row>
    <row r="40" spans="1:13" x14ac:dyDescent="0.2">
      <c r="A40" s="30" t="s">
        <v>12</v>
      </c>
      <c r="B40" s="30"/>
      <c r="C40" s="8">
        <f>C35+C38</f>
        <v>761270759</v>
      </c>
      <c r="D40" s="31"/>
      <c r="E40" s="31"/>
      <c r="F40" s="8">
        <f t="shared" ref="F40:M40" si="5">F35+F38</f>
        <v>11096706987</v>
      </c>
      <c r="G40" s="8">
        <f t="shared" si="5"/>
        <v>11426605232</v>
      </c>
      <c r="H40" s="8">
        <f t="shared" si="5"/>
        <v>329898245</v>
      </c>
      <c r="I40" s="8">
        <f t="shared" si="5"/>
        <v>182722660</v>
      </c>
      <c r="J40" s="32">
        <f t="shared" si="5"/>
        <v>9618772513</v>
      </c>
      <c r="K40" s="32">
        <f t="shared" si="5"/>
        <v>731958014</v>
      </c>
      <c r="L40" s="8">
        <f t="shared" si="5"/>
        <v>2697595</v>
      </c>
      <c r="M40" s="8">
        <f t="shared" si="5"/>
        <v>1073177110</v>
      </c>
    </row>
    <row r="41" spans="1:13" ht="26.25" customHeight="1" x14ac:dyDescent="0.2">
      <c r="A41" s="34" t="s">
        <v>53</v>
      </c>
      <c r="B41" s="83" t="s">
        <v>93</v>
      </c>
      <c r="C41" s="83"/>
      <c r="D41" s="83"/>
      <c r="E41" s="83"/>
      <c r="F41" s="83"/>
      <c r="G41" s="83"/>
      <c r="H41" s="83"/>
      <c r="I41" s="83"/>
      <c r="J41" s="83"/>
      <c r="K41" s="83"/>
      <c r="L41" s="83"/>
      <c r="M41" s="78"/>
    </row>
    <row r="42" spans="1:13" x14ac:dyDescent="0.2">
      <c r="A42" s="28"/>
      <c r="B42" s="5" t="s">
        <v>86</v>
      </c>
      <c r="C42" s="5"/>
      <c r="D42" s="19"/>
      <c r="E42" s="19"/>
    </row>
    <row r="43" spans="1:13" x14ac:dyDescent="0.2">
      <c r="A43" s="28"/>
      <c r="B43" s="5"/>
      <c r="C43" s="5"/>
      <c r="D43" s="19"/>
      <c r="E43" s="19"/>
    </row>
    <row r="44" spans="1:13" x14ac:dyDescent="0.2">
      <c r="A44" s="28"/>
      <c r="B44" s="5"/>
      <c r="C44" s="5"/>
      <c r="D44" s="19"/>
      <c r="E44" s="19"/>
    </row>
    <row r="45" spans="1:13" x14ac:dyDescent="0.2">
      <c r="A45" s="1" t="s">
        <v>0</v>
      </c>
      <c r="B45" s="35"/>
      <c r="C45" s="35"/>
      <c r="D45" s="35"/>
      <c r="E45" s="35"/>
      <c r="F45" s="35"/>
      <c r="G45" s="35"/>
      <c r="H45" s="35"/>
      <c r="I45" s="35"/>
      <c r="J45" s="35"/>
      <c r="K45" s="35"/>
    </row>
    <row r="46" spans="1:13" x14ac:dyDescent="0.2">
      <c r="A46" s="37" t="s">
        <v>55</v>
      </c>
      <c r="B46" s="35"/>
      <c r="C46" s="35"/>
      <c r="D46" s="35"/>
      <c r="E46" s="35"/>
      <c r="F46" s="35"/>
      <c r="G46" s="35"/>
      <c r="H46" s="35"/>
      <c r="I46" s="35"/>
      <c r="J46" s="35"/>
      <c r="K46" s="35"/>
    </row>
    <row r="47" spans="1:13" x14ac:dyDescent="0.2">
      <c r="A47" s="38" t="s">
        <v>90</v>
      </c>
      <c r="B47" s="35"/>
      <c r="C47" s="35"/>
      <c r="D47" s="35"/>
      <c r="E47" s="35"/>
      <c r="F47" s="35"/>
      <c r="G47" s="35"/>
      <c r="H47" s="35"/>
      <c r="I47" s="35"/>
      <c r="J47" s="35"/>
      <c r="K47" s="35"/>
    </row>
    <row r="48" spans="1:13" x14ac:dyDescent="0.2">
      <c r="A48" s="35"/>
      <c r="B48" s="35"/>
      <c r="C48" s="35"/>
      <c r="D48" s="35"/>
      <c r="E48" s="35"/>
      <c r="F48" s="35"/>
      <c r="G48" s="35"/>
      <c r="H48" s="35"/>
      <c r="I48" s="35"/>
      <c r="J48" s="35"/>
      <c r="K48" s="35"/>
    </row>
    <row r="49" spans="1:11" x14ac:dyDescent="0.2">
      <c r="A49" s="35" t="s">
        <v>56</v>
      </c>
      <c r="B49" s="35"/>
      <c r="C49" s="35"/>
      <c r="D49" s="35"/>
      <c r="E49" s="35"/>
      <c r="F49" s="35"/>
      <c r="G49" s="35"/>
      <c r="H49" s="35"/>
      <c r="I49" s="35"/>
      <c r="J49" s="35"/>
      <c r="K49" s="35"/>
    </row>
    <row r="50" spans="1:11" x14ac:dyDescent="0.2">
      <c r="A50" s="9" t="s">
        <v>3</v>
      </c>
      <c r="B50" s="39"/>
      <c r="C50" s="39"/>
      <c r="D50" s="24" t="s">
        <v>57</v>
      </c>
      <c r="E50" s="40"/>
      <c r="F50" s="41" t="s">
        <v>58</v>
      </c>
      <c r="G50" s="41" t="s">
        <v>10</v>
      </c>
      <c r="H50" s="42" t="s">
        <v>59</v>
      </c>
      <c r="I50" s="41" t="s">
        <v>58</v>
      </c>
      <c r="J50" s="41" t="s">
        <v>10</v>
      </c>
      <c r="K50" s="42" t="s">
        <v>59</v>
      </c>
    </row>
    <row r="51" spans="1:11" x14ac:dyDescent="0.2">
      <c r="A51" s="43"/>
      <c r="B51" s="43"/>
      <c r="C51" s="43"/>
      <c r="D51" s="13" t="s">
        <v>12</v>
      </c>
      <c r="E51" s="13" t="s">
        <v>13</v>
      </c>
      <c r="F51" s="44" t="s">
        <v>60</v>
      </c>
      <c r="G51" s="44" t="s">
        <v>61</v>
      </c>
      <c r="H51" s="44" t="s">
        <v>62</v>
      </c>
      <c r="I51" s="44" t="s">
        <v>63</v>
      </c>
      <c r="J51" s="44" t="s">
        <v>61</v>
      </c>
      <c r="K51" s="44" t="s">
        <v>62</v>
      </c>
    </row>
    <row r="52" spans="1:11" x14ac:dyDescent="0.2">
      <c r="A52" s="45"/>
      <c r="B52" s="45"/>
      <c r="C52" s="45"/>
      <c r="D52" s="45"/>
      <c r="E52" s="45"/>
      <c r="F52" s="46" t="s">
        <v>64</v>
      </c>
      <c r="G52" s="46" t="s">
        <v>65</v>
      </c>
      <c r="H52" s="46" t="s">
        <v>65</v>
      </c>
      <c r="I52" s="46" t="s">
        <v>4</v>
      </c>
      <c r="J52" s="47" t="s">
        <v>66</v>
      </c>
      <c r="K52" s="47" t="s">
        <v>66</v>
      </c>
    </row>
    <row r="53" spans="1:11" x14ac:dyDescent="0.2">
      <c r="A53" s="43"/>
      <c r="B53" s="43"/>
      <c r="C53" s="43"/>
      <c r="D53" s="48"/>
      <c r="E53" s="48"/>
      <c r="F53" s="49"/>
      <c r="G53" s="49"/>
      <c r="H53" s="49"/>
      <c r="I53" s="49"/>
      <c r="J53" s="18"/>
      <c r="K53" s="18"/>
    </row>
    <row r="54" spans="1:11" x14ac:dyDescent="0.2">
      <c r="A54" s="50" t="s">
        <v>67</v>
      </c>
      <c r="B54" s="51"/>
      <c r="C54" s="51"/>
      <c r="D54" s="52">
        <v>1.04</v>
      </c>
      <c r="E54" s="53">
        <v>3.0000000000000001E-3</v>
      </c>
      <c r="F54" s="54">
        <v>56565229</v>
      </c>
      <c r="G54" s="54">
        <f>55176837+1388392</f>
        <v>56565229</v>
      </c>
      <c r="H54" s="54">
        <f>G54-F54</f>
        <v>0</v>
      </c>
      <c r="I54" s="54">
        <v>54342309</v>
      </c>
      <c r="J54" s="54">
        <v>54377981</v>
      </c>
      <c r="K54" s="54">
        <f>J54-I54</f>
        <v>35672</v>
      </c>
    </row>
    <row r="55" spans="1:11" x14ac:dyDescent="0.2">
      <c r="A55" s="55" t="s">
        <v>87</v>
      </c>
      <c r="B55" s="51"/>
      <c r="C55" s="51"/>
      <c r="D55" s="52">
        <v>0.45</v>
      </c>
      <c r="E55" s="52">
        <v>0.01</v>
      </c>
      <c r="F55" s="54">
        <v>16010099</v>
      </c>
      <c r="G55" s="54">
        <f>490789+9801908+5717402</f>
        <v>16010099</v>
      </c>
      <c r="H55" s="54">
        <f>G55-F55</f>
        <v>0</v>
      </c>
      <c r="I55" s="54">
        <v>36288119</v>
      </c>
      <c r="J55" s="54">
        <v>36743581</v>
      </c>
      <c r="K55" s="54">
        <f>J55-I55</f>
        <v>455462</v>
      </c>
    </row>
    <row r="56" spans="1:11" x14ac:dyDescent="0.2">
      <c r="A56" s="43"/>
      <c r="B56" s="43"/>
      <c r="C56" s="43"/>
      <c r="D56" s="56"/>
      <c r="E56" s="48"/>
      <c r="F56" s="54"/>
      <c r="G56" s="54"/>
      <c r="H56" s="54"/>
      <c r="I56" s="54"/>
      <c r="J56" s="54"/>
      <c r="K56" s="54"/>
    </row>
    <row r="57" spans="1:11" x14ac:dyDescent="0.2">
      <c r="A57" s="35"/>
      <c r="B57" s="35"/>
      <c r="C57" s="35"/>
      <c r="D57" s="57"/>
      <c r="E57" s="57"/>
      <c r="F57" s="58"/>
      <c r="G57" s="58"/>
      <c r="H57" s="58"/>
      <c r="I57" s="58"/>
      <c r="J57" s="58"/>
      <c r="K57" s="58"/>
    </row>
    <row r="58" spans="1:11" x14ac:dyDescent="0.2">
      <c r="A58" s="36" t="s">
        <v>69</v>
      </c>
      <c r="B58" s="35"/>
      <c r="C58" s="35"/>
      <c r="D58" s="57"/>
      <c r="E58" s="57"/>
      <c r="F58" s="58"/>
      <c r="G58" s="58"/>
      <c r="H58" s="58"/>
      <c r="I58" s="58"/>
      <c r="J58" s="58"/>
      <c r="K58" s="58"/>
    </row>
    <row r="59" spans="1:11" x14ac:dyDescent="0.2">
      <c r="A59" s="9" t="s">
        <v>3</v>
      </c>
      <c r="B59" s="39"/>
      <c r="C59" s="39"/>
      <c r="D59" s="24" t="s">
        <v>57</v>
      </c>
      <c r="E59" s="59"/>
      <c r="F59" s="11" t="s">
        <v>6</v>
      </c>
      <c r="G59" s="11" t="s">
        <v>6</v>
      </c>
      <c r="H59" s="10" t="s">
        <v>10</v>
      </c>
      <c r="I59" s="10" t="s">
        <v>70</v>
      </c>
      <c r="J59" s="54"/>
      <c r="K59" s="54"/>
    </row>
    <row r="60" spans="1:11" x14ac:dyDescent="0.2">
      <c r="A60" s="43"/>
      <c r="B60" s="43"/>
      <c r="C60" s="43"/>
      <c r="D60" s="13" t="s">
        <v>12</v>
      </c>
      <c r="E60" s="13" t="s">
        <v>13</v>
      </c>
      <c r="F60" s="12" t="s">
        <v>71</v>
      </c>
      <c r="G60" s="12" t="s">
        <v>71</v>
      </c>
      <c r="H60" s="13" t="s">
        <v>72</v>
      </c>
      <c r="I60" s="13" t="s">
        <v>62</v>
      </c>
      <c r="J60" s="54"/>
      <c r="K60" s="54"/>
    </row>
    <row r="61" spans="1:11" x14ac:dyDescent="0.2">
      <c r="A61" s="43"/>
      <c r="B61" s="43"/>
      <c r="C61" s="43"/>
      <c r="D61" s="48"/>
      <c r="E61" s="48"/>
      <c r="F61" s="12" t="s">
        <v>73</v>
      </c>
      <c r="G61" s="13" t="s">
        <v>74</v>
      </c>
      <c r="H61" s="12" t="s">
        <v>75</v>
      </c>
      <c r="I61" s="13" t="s">
        <v>76</v>
      </c>
      <c r="J61" s="54"/>
      <c r="K61" s="54"/>
    </row>
    <row r="62" spans="1:11" x14ac:dyDescent="0.2">
      <c r="A62" s="45"/>
      <c r="B62" s="45"/>
      <c r="C62" s="45"/>
      <c r="D62" s="60"/>
      <c r="E62" s="60"/>
      <c r="F62" s="17" t="s">
        <v>77</v>
      </c>
      <c r="G62" s="17" t="s">
        <v>78</v>
      </c>
      <c r="H62" s="17" t="s">
        <v>79</v>
      </c>
      <c r="I62" s="17" t="s">
        <v>79</v>
      </c>
      <c r="J62" s="54"/>
      <c r="K62" s="54"/>
    </row>
    <row r="63" spans="1:11" x14ac:dyDescent="0.2">
      <c r="A63" s="43"/>
      <c r="B63" s="43"/>
      <c r="C63" s="35"/>
      <c r="D63" s="57"/>
      <c r="E63" s="57"/>
      <c r="F63" s="58"/>
      <c r="G63" s="58"/>
      <c r="H63" s="58"/>
      <c r="I63" s="58"/>
      <c r="J63" s="58"/>
      <c r="K63" s="58"/>
    </row>
    <row r="64" spans="1:11" x14ac:dyDescent="0.2">
      <c r="A64" s="51" t="s">
        <v>80</v>
      </c>
      <c r="B64" s="43"/>
      <c r="C64" s="43"/>
      <c r="D64" s="52">
        <v>1.77</v>
      </c>
      <c r="E64" s="53">
        <v>1.2E-2</v>
      </c>
      <c r="F64" s="54">
        <v>51455021</v>
      </c>
      <c r="G64" s="54">
        <v>33258925</v>
      </c>
      <c r="H64" s="54">
        <v>84930352</v>
      </c>
      <c r="I64" s="54">
        <f>+H64-G64-F64</f>
        <v>216406</v>
      </c>
      <c r="J64" s="54"/>
      <c r="K64" s="54"/>
    </row>
    <row r="65" spans="1:11" x14ac:dyDescent="0.2">
      <c r="A65" s="35"/>
      <c r="B65" s="35"/>
      <c r="C65" s="35"/>
      <c r="D65" s="57"/>
      <c r="E65" s="57"/>
      <c r="F65" s="58"/>
      <c r="G65" s="58"/>
      <c r="H65" s="58"/>
      <c r="I65" s="58"/>
      <c r="J65" s="58"/>
      <c r="K65" s="58"/>
    </row>
  </sheetData>
  <mergeCells count="5">
    <mergeCell ref="D5:E5"/>
    <mergeCell ref="A9:B9"/>
    <mergeCell ref="A10:B10"/>
    <mergeCell ref="A15:B15"/>
    <mergeCell ref="B41:M4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0"/>
  <sheetViews>
    <sheetView workbookViewId="0"/>
  </sheetViews>
  <sheetFormatPr baseColWidth="10" defaultRowHeight="12.75" x14ac:dyDescent="0.2"/>
  <cols>
    <col min="1" max="1" width="2.5703125" style="4" customWidth="1"/>
    <col min="2" max="2" width="22.42578125" style="4" customWidth="1"/>
    <col min="3" max="3" width="12.140625" style="4" bestFit="1" customWidth="1"/>
    <col min="4" max="4" width="8.140625" style="4" customWidth="1"/>
    <col min="5" max="5" width="8.5703125" style="4" customWidth="1"/>
    <col min="6" max="6" width="17" style="4" bestFit="1" customWidth="1"/>
    <col min="7" max="7" width="16.7109375" style="4" bestFit="1" customWidth="1"/>
    <col min="8" max="8" width="18" style="4" bestFit="1" customWidth="1"/>
    <col min="9" max="9" width="17.7109375" style="4" bestFit="1" customWidth="1"/>
    <col min="10" max="10" width="13.5703125" style="4" customWidth="1"/>
    <col min="11" max="11" width="18.5703125" style="4" bestFit="1" customWidth="1"/>
    <col min="12" max="12" width="15.5703125" style="4" customWidth="1"/>
    <col min="13" max="13" width="13.5703125" style="4" customWidth="1"/>
    <col min="14" max="14" width="14.5703125" style="4" bestFit="1" customWidth="1"/>
    <col min="15" max="256" width="11.42578125" style="4"/>
    <col min="257" max="257" width="2.5703125" style="4" customWidth="1"/>
    <col min="258" max="258" width="22.42578125" style="4" customWidth="1"/>
    <col min="259" max="259" width="12.140625" style="4" bestFit="1" customWidth="1"/>
    <col min="260" max="260" width="8.140625" style="4" customWidth="1"/>
    <col min="261" max="261" width="8.5703125" style="4" customWidth="1"/>
    <col min="262" max="262" width="17" style="4" bestFit="1" customWidth="1"/>
    <col min="263" max="263" width="16.7109375" style="4" bestFit="1" customWidth="1"/>
    <col min="264" max="264" width="18" style="4" bestFit="1" customWidth="1"/>
    <col min="265" max="265" width="17.7109375" style="4" bestFit="1" customWidth="1"/>
    <col min="266" max="266" width="13.5703125" style="4" customWidth="1"/>
    <col min="267" max="267" width="18.5703125" style="4" bestFit="1" customWidth="1"/>
    <col min="268" max="268" width="15.5703125" style="4" customWidth="1"/>
    <col min="269" max="269" width="13.5703125" style="4" customWidth="1"/>
    <col min="270" max="270" width="14.5703125" style="4" bestFit="1" customWidth="1"/>
    <col min="271" max="512" width="11.42578125" style="4"/>
    <col min="513" max="513" width="2.5703125" style="4" customWidth="1"/>
    <col min="514" max="514" width="22.42578125" style="4" customWidth="1"/>
    <col min="515" max="515" width="12.140625" style="4" bestFit="1" customWidth="1"/>
    <col min="516" max="516" width="8.140625" style="4" customWidth="1"/>
    <col min="517" max="517" width="8.5703125" style="4" customWidth="1"/>
    <col min="518" max="518" width="17" style="4" bestFit="1" customWidth="1"/>
    <col min="519" max="519" width="16.7109375" style="4" bestFit="1" customWidth="1"/>
    <col min="520" max="520" width="18" style="4" bestFit="1" customWidth="1"/>
    <col min="521" max="521" width="17.7109375" style="4" bestFit="1" customWidth="1"/>
    <col min="522" max="522" width="13.5703125" style="4" customWidth="1"/>
    <col min="523" max="523" width="18.5703125" style="4" bestFit="1" customWidth="1"/>
    <col min="524" max="524" width="15.5703125" style="4" customWidth="1"/>
    <col min="525" max="525" width="13.5703125" style="4" customWidth="1"/>
    <col min="526" max="526" width="14.5703125" style="4" bestFit="1" customWidth="1"/>
    <col min="527" max="768" width="11.42578125" style="4"/>
    <col min="769" max="769" width="2.5703125" style="4" customWidth="1"/>
    <col min="770" max="770" width="22.42578125" style="4" customWidth="1"/>
    <col min="771" max="771" width="12.140625" style="4" bestFit="1" customWidth="1"/>
    <col min="772" max="772" width="8.140625" style="4" customWidth="1"/>
    <col min="773" max="773" width="8.5703125" style="4" customWidth="1"/>
    <col min="774" max="774" width="17" style="4" bestFit="1" customWidth="1"/>
    <col min="775" max="775" width="16.7109375" style="4" bestFit="1" customWidth="1"/>
    <col min="776" max="776" width="18" style="4" bestFit="1" customWidth="1"/>
    <col min="777" max="777" width="17.7109375" style="4" bestFit="1" customWidth="1"/>
    <col min="778" max="778" width="13.5703125" style="4" customWidth="1"/>
    <col min="779" max="779" width="18.5703125" style="4" bestFit="1" customWidth="1"/>
    <col min="780" max="780" width="15.5703125" style="4" customWidth="1"/>
    <col min="781" max="781" width="13.5703125" style="4" customWidth="1"/>
    <col min="782" max="782" width="14.5703125" style="4" bestFit="1" customWidth="1"/>
    <col min="783" max="1024" width="11.42578125" style="4"/>
    <col min="1025" max="1025" width="2.5703125" style="4" customWidth="1"/>
    <col min="1026" max="1026" width="22.42578125" style="4" customWidth="1"/>
    <col min="1027" max="1027" width="12.140625" style="4" bestFit="1" customWidth="1"/>
    <col min="1028" max="1028" width="8.140625" style="4" customWidth="1"/>
    <col min="1029" max="1029" width="8.5703125" style="4" customWidth="1"/>
    <col min="1030" max="1030" width="17" style="4" bestFit="1" customWidth="1"/>
    <col min="1031" max="1031" width="16.7109375" style="4" bestFit="1" customWidth="1"/>
    <col min="1032" max="1032" width="18" style="4" bestFit="1" customWidth="1"/>
    <col min="1033" max="1033" width="17.7109375" style="4" bestFit="1" customWidth="1"/>
    <col min="1034" max="1034" width="13.5703125" style="4" customWidth="1"/>
    <col min="1035" max="1035" width="18.5703125" style="4" bestFit="1" customWidth="1"/>
    <col min="1036" max="1036" width="15.5703125" style="4" customWidth="1"/>
    <col min="1037" max="1037" width="13.5703125" style="4" customWidth="1"/>
    <col min="1038" max="1038" width="14.5703125" style="4" bestFit="1" customWidth="1"/>
    <col min="1039" max="1280" width="11.42578125" style="4"/>
    <col min="1281" max="1281" width="2.5703125" style="4" customWidth="1"/>
    <col min="1282" max="1282" width="22.42578125" style="4" customWidth="1"/>
    <col min="1283" max="1283" width="12.140625" style="4" bestFit="1" customWidth="1"/>
    <col min="1284" max="1284" width="8.140625" style="4" customWidth="1"/>
    <col min="1285" max="1285" width="8.5703125" style="4" customWidth="1"/>
    <col min="1286" max="1286" width="17" style="4" bestFit="1" customWidth="1"/>
    <col min="1287" max="1287" width="16.7109375" style="4" bestFit="1" customWidth="1"/>
    <col min="1288" max="1288" width="18" style="4" bestFit="1" customWidth="1"/>
    <col min="1289" max="1289" width="17.7109375" style="4" bestFit="1" customWidth="1"/>
    <col min="1290" max="1290" width="13.5703125" style="4" customWidth="1"/>
    <col min="1291" max="1291" width="18.5703125" style="4" bestFit="1" customWidth="1"/>
    <col min="1292" max="1292" width="15.5703125" style="4" customWidth="1"/>
    <col min="1293" max="1293" width="13.5703125" style="4" customWidth="1"/>
    <col min="1294" max="1294" width="14.5703125" style="4" bestFit="1" customWidth="1"/>
    <col min="1295" max="1536" width="11.42578125" style="4"/>
    <col min="1537" max="1537" width="2.5703125" style="4" customWidth="1"/>
    <col min="1538" max="1538" width="22.42578125" style="4" customWidth="1"/>
    <col min="1539" max="1539" width="12.140625" style="4" bestFit="1" customWidth="1"/>
    <col min="1540" max="1540" width="8.140625" style="4" customWidth="1"/>
    <col min="1541" max="1541" width="8.5703125" style="4" customWidth="1"/>
    <col min="1542" max="1542" width="17" style="4" bestFit="1" customWidth="1"/>
    <col min="1543" max="1543" width="16.7109375" style="4" bestFit="1" customWidth="1"/>
    <col min="1544" max="1544" width="18" style="4" bestFit="1" customWidth="1"/>
    <col min="1545" max="1545" width="17.7109375" style="4" bestFit="1" customWidth="1"/>
    <col min="1546" max="1546" width="13.5703125" style="4" customWidth="1"/>
    <col min="1547" max="1547" width="18.5703125" style="4" bestFit="1" customWidth="1"/>
    <col min="1548" max="1548" width="15.5703125" style="4" customWidth="1"/>
    <col min="1549" max="1549" width="13.5703125" style="4" customWidth="1"/>
    <col min="1550" max="1550" width="14.5703125" style="4" bestFit="1" customWidth="1"/>
    <col min="1551" max="1792" width="11.42578125" style="4"/>
    <col min="1793" max="1793" width="2.5703125" style="4" customWidth="1"/>
    <col min="1794" max="1794" width="22.42578125" style="4" customWidth="1"/>
    <col min="1795" max="1795" width="12.140625" style="4" bestFit="1" customWidth="1"/>
    <col min="1796" max="1796" width="8.140625" style="4" customWidth="1"/>
    <col min="1797" max="1797" width="8.5703125" style="4" customWidth="1"/>
    <col min="1798" max="1798" width="17" style="4" bestFit="1" customWidth="1"/>
    <col min="1799" max="1799" width="16.7109375" style="4" bestFit="1" customWidth="1"/>
    <col min="1800" max="1800" width="18" style="4" bestFit="1" customWidth="1"/>
    <col min="1801" max="1801" width="17.7109375" style="4" bestFit="1" customWidth="1"/>
    <col min="1802" max="1802" width="13.5703125" style="4" customWidth="1"/>
    <col min="1803" max="1803" width="18.5703125" style="4" bestFit="1" customWidth="1"/>
    <col min="1804" max="1804" width="15.5703125" style="4" customWidth="1"/>
    <col min="1805" max="1805" width="13.5703125" style="4" customWidth="1"/>
    <col min="1806" max="1806" width="14.5703125" style="4" bestFit="1" customWidth="1"/>
    <col min="1807" max="2048" width="11.42578125" style="4"/>
    <col min="2049" max="2049" width="2.5703125" style="4" customWidth="1"/>
    <col min="2050" max="2050" width="22.42578125" style="4" customWidth="1"/>
    <col min="2051" max="2051" width="12.140625" style="4" bestFit="1" customWidth="1"/>
    <col min="2052" max="2052" width="8.140625" style="4" customWidth="1"/>
    <col min="2053" max="2053" width="8.5703125" style="4" customWidth="1"/>
    <col min="2054" max="2054" width="17" style="4" bestFit="1" customWidth="1"/>
    <col min="2055" max="2055" width="16.7109375" style="4" bestFit="1" customWidth="1"/>
    <col min="2056" max="2056" width="18" style="4" bestFit="1" customWidth="1"/>
    <col min="2057" max="2057" width="17.7109375" style="4" bestFit="1" customWidth="1"/>
    <col min="2058" max="2058" width="13.5703125" style="4" customWidth="1"/>
    <col min="2059" max="2059" width="18.5703125" style="4" bestFit="1" customWidth="1"/>
    <col min="2060" max="2060" width="15.5703125" style="4" customWidth="1"/>
    <col min="2061" max="2061" width="13.5703125" style="4" customWidth="1"/>
    <col min="2062" max="2062" width="14.5703125" style="4" bestFit="1" customWidth="1"/>
    <col min="2063" max="2304" width="11.42578125" style="4"/>
    <col min="2305" max="2305" width="2.5703125" style="4" customWidth="1"/>
    <col min="2306" max="2306" width="22.42578125" style="4" customWidth="1"/>
    <col min="2307" max="2307" width="12.140625" style="4" bestFit="1" customWidth="1"/>
    <col min="2308" max="2308" width="8.140625" style="4" customWidth="1"/>
    <col min="2309" max="2309" width="8.5703125" style="4" customWidth="1"/>
    <col min="2310" max="2310" width="17" style="4" bestFit="1" customWidth="1"/>
    <col min="2311" max="2311" width="16.7109375" style="4" bestFit="1" customWidth="1"/>
    <col min="2312" max="2312" width="18" style="4" bestFit="1" customWidth="1"/>
    <col min="2313" max="2313" width="17.7109375" style="4" bestFit="1" customWidth="1"/>
    <col min="2314" max="2314" width="13.5703125" style="4" customWidth="1"/>
    <col min="2315" max="2315" width="18.5703125" style="4" bestFit="1" customWidth="1"/>
    <col min="2316" max="2316" width="15.5703125" style="4" customWidth="1"/>
    <col min="2317" max="2317" width="13.5703125" style="4" customWidth="1"/>
    <col min="2318" max="2318" width="14.5703125" style="4" bestFit="1" customWidth="1"/>
    <col min="2319" max="2560" width="11.42578125" style="4"/>
    <col min="2561" max="2561" width="2.5703125" style="4" customWidth="1"/>
    <col min="2562" max="2562" width="22.42578125" style="4" customWidth="1"/>
    <col min="2563" max="2563" width="12.140625" style="4" bestFit="1" customWidth="1"/>
    <col min="2564" max="2564" width="8.140625" style="4" customWidth="1"/>
    <col min="2565" max="2565" width="8.5703125" style="4" customWidth="1"/>
    <col min="2566" max="2566" width="17" style="4" bestFit="1" customWidth="1"/>
    <col min="2567" max="2567" width="16.7109375" style="4" bestFit="1" customWidth="1"/>
    <col min="2568" max="2568" width="18" style="4" bestFit="1" customWidth="1"/>
    <col min="2569" max="2569" width="17.7109375" style="4" bestFit="1" customWidth="1"/>
    <col min="2570" max="2570" width="13.5703125" style="4" customWidth="1"/>
    <col min="2571" max="2571" width="18.5703125" style="4" bestFit="1" customWidth="1"/>
    <col min="2572" max="2572" width="15.5703125" style="4" customWidth="1"/>
    <col min="2573" max="2573" width="13.5703125" style="4" customWidth="1"/>
    <col min="2574" max="2574" width="14.5703125" style="4" bestFit="1" customWidth="1"/>
    <col min="2575" max="2816" width="11.42578125" style="4"/>
    <col min="2817" max="2817" width="2.5703125" style="4" customWidth="1"/>
    <col min="2818" max="2818" width="22.42578125" style="4" customWidth="1"/>
    <col min="2819" max="2819" width="12.140625" style="4" bestFit="1" customWidth="1"/>
    <col min="2820" max="2820" width="8.140625" style="4" customWidth="1"/>
    <col min="2821" max="2821" width="8.5703125" style="4" customWidth="1"/>
    <col min="2822" max="2822" width="17" style="4" bestFit="1" customWidth="1"/>
    <col min="2823" max="2823" width="16.7109375" style="4" bestFit="1" customWidth="1"/>
    <col min="2824" max="2824" width="18" style="4" bestFit="1" customWidth="1"/>
    <col min="2825" max="2825" width="17.7109375" style="4" bestFit="1" customWidth="1"/>
    <col min="2826" max="2826" width="13.5703125" style="4" customWidth="1"/>
    <col min="2827" max="2827" width="18.5703125" style="4" bestFit="1" customWidth="1"/>
    <col min="2828" max="2828" width="15.5703125" style="4" customWidth="1"/>
    <col min="2829" max="2829" width="13.5703125" style="4" customWidth="1"/>
    <col min="2830" max="2830" width="14.5703125" style="4" bestFit="1" customWidth="1"/>
    <col min="2831" max="3072" width="11.42578125" style="4"/>
    <col min="3073" max="3073" width="2.5703125" style="4" customWidth="1"/>
    <col min="3074" max="3074" width="22.42578125" style="4" customWidth="1"/>
    <col min="3075" max="3075" width="12.140625" style="4" bestFit="1" customWidth="1"/>
    <col min="3076" max="3076" width="8.140625" style="4" customWidth="1"/>
    <col min="3077" max="3077" width="8.5703125" style="4" customWidth="1"/>
    <col min="3078" max="3078" width="17" style="4" bestFit="1" customWidth="1"/>
    <col min="3079" max="3079" width="16.7109375" style="4" bestFit="1" customWidth="1"/>
    <col min="3080" max="3080" width="18" style="4" bestFit="1" customWidth="1"/>
    <col min="3081" max="3081" width="17.7109375" style="4" bestFit="1" customWidth="1"/>
    <col min="3082" max="3082" width="13.5703125" style="4" customWidth="1"/>
    <col min="3083" max="3083" width="18.5703125" style="4" bestFit="1" customWidth="1"/>
    <col min="3084" max="3084" width="15.5703125" style="4" customWidth="1"/>
    <col min="3085" max="3085" width="13.5703125" style="4" customWidth="1"/>
    <col min="3086" max="3086" width="14.5703125" style="4" bestFit="1" customWidth="1"/>
    <col min="3087" max="3328" width="11.42578125" style="4"/>
    <col min="3329" max="3329" width="2.5703125" style="4" customWidth="1"/>
    <col min="3330" max="3330" width="22.42578125" style="4" customWidth="1"/>
    <col min="3331" max="3331" width="12.140625" style="4" bestFit="1" customWidth="1"/>
    <col min="3332" max="3332" width="8.140625" style="4" customWidth="1"/>
    <col min="3333" max="3333" width="8.5703125" style="4" customWidth="1"/>
    <col min="3334" max="3334" width="17" style="4" bestFit="1" customWidth="1"/>
    <col min="3335" max="3335" width="16.7109375" style="4" bestFit="1" customWidth="1"/>
    <col min="3336" max="3336" width="18" style="4" bestFit="1" customWidth="1"/>
    <col min="3337" max="3337" width="17.7109375" style="4" bestFit="1" customWidth="1"/>
    <col min="3338" max="3338" width="13.5703125" style="4" customWidth="1"/>
    <col min="3339" max="3339" width="18.5703125" style="4" bestFit="1" customWidth="1"/>
    <col min="3340" max="3340" width="15.5703125" style="4" customWidth="1"/>
    <col min="3341" max="3341" width="13.5703125" style="4" customWidth="1"/>
    <col min="3342" max="3342" width="14.5703125" style="4" bestFit="1" customWidth="1"/>
    <col min="3343" max="3584" width="11.42578125" style="4"/>
    <col min="3585" max="3585" width="2.5703125" style="4" customWidth="1"/>
    <col min="3586" max="3586" width="22.42578125" style="4" customWidth="1"/>
    <col min="3587" max="3587" width="12.140625" style="4" bestFit="1" customWidth="1"/>
    <col min="3588" max="3588" width="8.140625" style="4" customWidth="1"/>
    <col min="3589" max="3589" width="8.5703125" style="4" customWidth="1"/>
    <col min="3590" max="3590" width="17" style="4" bestFit="1" customWidth="1"/>
    <col min="3591" max="3591" width="16.7109375" style="4" bestFit="1" customWidth="1"/>
    <col min="3592" max="3592" width="18" style="4" bestFit="1" customWidth="1"/>
    <col min="3593" max="3593" width="17.7109375" style="4" bestFit="1" customWidth="1"/>
    <col min="3594" max="3594" width="13.5703125" style="4" customWidth="1"/>
    <col min="3595" max="3595" width="18.5703125" style="4" bestFit="1" customWidth="1"/>
    <col min="3596" max="3596" width="15.5703125" style="4" customWidth="1"/>
    <col min="3597" max="3597" width="13.5703125" style="4" customWidth="1"/>
    <col min="3598" max="3598" width="14.5703125" style="4" bestFit="1" customWidth="1"/>
    <col min="3599" max="3840" width="11.42578125" style="4"/>
    <col min="3841" max="3841" width="2.5703125" style="4" customWidth="1"/>
    <col min="3842" max="3842" width="22.42578125" style="4" customWidth="1"/>
    <col min="3843" max="3843" width="12.140625" style="4" bestFit="1" customWidth="1"/>
    <col min="3844" max="3844" width="8.140625" style="4" customWidth="1"/>
    <col min="3845" max="3845" width="8.5703125" style="4" customWidth="1"/>
    <col min="3846" max="3846" width="17" style="4" bestFit="1" customWidth="1"/>
    <col min="3847" max="3847" width="16.7109375" style="4" bestFit="1" customWidth="1"/>
    <col min="3848" max="3848" width="18" style="4" bestFit="1" customWidth="1"/>
    <col min="3849" max="3849" width="17.7109375" style="4" bestFit="1" customWidth="1"/>
    <col min="3850" max="3850" width="13.5703125" style="4" customWidth="1"/>
    <col min="3851" max="3851" width="18.5703125" style="4" bestFit="1" customWidth="1"/>
    <col min="3852" max="3852" width="15.5703125" style="4" customWidth="1"/>
    <col min="3853" max="3853" width="13.5703125" style="4" customWidth="1"/>
    <col min="3854" max="3854" width="14.5703125" style="4" bestFit="1" customWidth="1"/>
    <col min="3855" max="4096" width="11.42578125" style="4"/>
    <col min="4097" max="4097" width="2.5703125" style="4" customWidth="1"/>
    <col min="4098" max="4098" width="22.42578125" style="4" customWidth="1"/>
    <col min="4099" max="4099" width="12.140625" style="4" bestFit="1" customWidth="1"/>
    <col min="4100" max="4100" width="8.140625" style="4" customWidth="1"/>
    <col min="4101" max="4101" width="8.5703125" style="4" customWidth="1"/>
    <col min="4102" max="4102" width="17" style="4" bestFit="1" customWidth="1"/>
    <col min="4103" max="4103" width="16.7109375" style="4" bestFit="1" customWidth="1"/>
    <col min="4104" max="4104" width="18" style="4" bestFit="1" customWidth="1"/>
    <col min="4105" max="4105" width="17.7109375" style="4" bestFit="1" customWidth="1"/>
    <col min="4106" max="4106" width="13.5703125" style="4" customWidth="1"/>
    <col min="4107" max="4107" width="18.5703125" style="4" bestFit="1" customWidth="1"/>
    <col min="4108" max="4108" width="15.5703125" style="4" customWidth="1"/>
    <col min="4109" max="4109" width="13.5703125" style="4" customWidth="1"/>
    <col min="4110" max="4110" width="14.5703125" style="4" bestFit="1" customWidth="1"/>
    <col min="4111" max="4352" width="11.42578125" style="4"/>
    <col min="4353" max="4353" width="2.5703125" style="4" customWidth="1"/>
    <col min="4354" max="4354" width="22.42578125" style="4" customWidth="1"/>
    <col min="4355" max="4355" width="12.140625" style="4" bestFit="1" customWidth="1"/>
    <col min="4356" max="4356" width="8.140625" style="4" customWidth="1"/>
    <col min="4357" max="4357" width="8.5703125" style="4" customWidth="1"/>
    <col min="4358" max="4358" width="17" style="4" bestFit="1" customWidth="1"/>
    <col min="4359" max="4359" width="16.7109375" style="4" bestFit="1" customWidth="1"/>
    <col min="4360" max="4360" width="18" style="4" bestFit="1" customWidth="1"/>
    <col min="4361" max="4361" width="17.7109375" style="4" bestFit="1" customWidth="1"/>
    <col min="4362" max="4362" width="13.5703125" style="4" customWidth="1"/>
    <col min="4363" max="4363" width="18.5703125" style="4" bestFit="1" customWidth="1"/>
    <col min="4364" max="4364" width="15.5703125" style="4" customWidth="1"/>
    <col min="4365" max="4365" width="13.5703125" style="4" customWidth="1"/>
    <col min="4366" max="4366" width="14.5703125" style="4" bestFit="1" customWidth="1"/>
    <col min="4367" max="4608" width="11.42578125" style="4"/>
    <col min="4609" max="4609" width="2.5703125" style="4" customWidth="1"/>
    <col min="4610" max="4610" width="22.42578125" style="4" customWidth="1"/>
    <col min="4611" max="4611" width="12.140625" style="4" bestFit="1" customWidth="1"/>
    <col min="4612" max="4612" width="8.140625" style="4" customWidth="1"/>
    <col min="4613" max="4613" width="8.5703125" style="4" customWidth="1"/>
    <col min="4614" max="4614" width="17" style="4" bestFit="1" customWidth="1"/>
    <col min="4615" max="4615" width="16.7109375" style="4" bestFit="1" customWidth="1"/>
    <col min="4616" max="4616" width="18" style="4" bestFit="1" customWidth="1"/>
    <col min="4617" max="4617" width="17.7109375" style="4" bestFit="1" customWidth="1"/>
    <col min="4618" max="4618" width="13.5703125" style="4" customWidth="1"/>
    <col min="4619" max="4619" width="18.5703125" style="4" bestFit="1" customWidth="1"/>
    <col min="4620" max="4620" width="15.5703125" style="4" customWidth="1"/>
    <col min="4621" max="4621" width="13.5703125" style="4" customWidth="1"/>
    <col min="4622" max="4622" width="14.5703125" style="4" bestFit="1" customWidth="1"/>
    <col min="4623" max="4864" width="11.42578125" style="4"/>
    <col min="4865" max="4865" width="2.5703125" style="4" customWidth="1"/>
    <col min="4866" max="4866" width="22.42578125" style="4" customWidth="1"/>
    <col min="4867" max="4867" width="12.140625" style="4" bestFit="1" customWidth="1"/>
    <col min="4868" max="4868" width="8.140625" style="4" customWidth="1"/>
    <col min="4869" max="4869" width="8.5703125" style="4" customWidth="1"/>
    <col min="4870" max="4870" width="17" style="4" bestFit="1" customWidth="1"/>
    <col min="4871" max="4871" width="16.7109375" style="4" bestFit="1" customWidth="1"/>
    <col min="4872" max="4872" width="18" style="4" bestFit="1" customWidth="1"/>
    <col min="4873" max="4873" width="17.7109375" style="4" bestFit="1" customWidth="1"/>
    <col min="4874" max="4874" width="13.5703125" style="4" customWidth="1"/>
    <col min="4875" max="4875" width="18.5703125" style="4" bestFit="1" customWidth="1"/>
    <col min="4876" max="4876" width="15.5703125" style="4" customWidth="1"/>
    <col min="4877" max="4877" width="13.5703125" style="4" customWidth="1"/>
    <col min="4878" max="4878" width="14.5703125" style="4" bestFit="1" customWidth="1"/>
    <col min="4879" max="5120" width="11.42578125" style="4"/>
    <col min="5121" max="5121" width="2.5703125" style="4" customWidth="1"/>
    <col min="5122" max="5122" width="22.42578125" style="4" customWidth="1"/>
    <col min="5123" max="5123" width="12.140625" style="4" bestFit="1" customWidth="1"/>
    <col min="5124" max="5124" width="8.140625" style="4" customWidth="1"/>
    <col min="5125" max="5125" width="8.5703125" style="4" customWidth="1"/>
    <col min="5126" max="5126" width="17" style="4" bestFit="1" customWidth="1"/>
    <col min="5127" max="5127" width="16.7109375" style="4" bestFit="1" customWidth="1"/>
    <col min="5128" max="5128" width="18" style="4" bestFit="1" customWidth="1"/>
    <col min="5129" max="5129" width="17.7109375" style="4" bestFit="1" customWidth="1"/>
    <col min="5130" max="5130" width="13.5703125" style="4" customWidth="1"/>
    <col min="5131" max="5131" width="18.5703125" style="4" bestFit="1" customWidth="1"/>
    <col min="5132" max="5132" width="15.5703125" style="4" customWidth="1"/>
    <col min="5133" max="5133" width="13.5703125" style="4" customWidth="1"/>
    <col min="5134" max="5134" width="14.5703125" style="4" bestFit="1" customWidth="1"/>
    <col min="5135" max="5376" width="11.42578125" style="4"/>
    <col min="5377" max="5377" width="2.5703125" style="4" customWidth="1"/>
    <col min="5378" max="5378" width="22.42578125" style="4" customWidth="1"/>
    <col min="5379" max="5379" width="12.140625" style="4" bestFit="1" customWidth="1"/>
    <col min="5380" max="5380" width="8.140625" style="4" customWidth="1"/>
    <col min="5381" max="5381" width="8.5703125" style="4" customWidth="1"/>
    <col min="5382" max="5382" width="17" style="4" bestFit="1" customWidth="1"/>
    <col min="5383" max="5383" width="16.7109375" style="4" bestFit="1" customWidth="1"/>
    <col min="5384" max="5384" width="18" style="4" bestFit="1" customWidth="1"/>
    <col min="5385" max="5385" width="17.7109375" style="4" bestFit="1" customWidth="1"/>
    <col min="5386" max="5386" width="13.5703125" style="4" customWidth="1"/>
    <col min="5387" max="5387" width="18.5703125" style="4" bestFit="1" customWidth="1"/>
    <col min="5388" max="5388" width="15.5703125" style="4" customWidth="1"/>
    <col min="5389" max="5389" width="13.5703125" style="4" customWidth="1"/>
    <col min="5390" max="5390" width="14.5703125" style="4" bestFit="1" customWidth="1"/>
    <col min="5391" max="5632" width="11.42578125" style="4"/>
    <col min="5633" max="5633" width="2.5703125" style="4" customWidth="1"/>
    <col min="5634" max="5634" width="22.42578125" style="4" customWidth="1"/>
    <col min="5635" max="5635" width="12.140625" style="4" bestFit="1" customWidth="1"/>
    <col min="5636" max="5636" width="8.140625" style="4" customWidth="1"/>
    <col min="5637" max="5637" width="8.5703125" style="4" customWidth="1"/>
    <col min="5638" max="5638" width="17" style="4" bestFit="1" customWidth="1"/>
    <col min="5639" max="5639" width="16.7109375" style="4" bestFit="1" customWidth="1"/>
    <col min="5640" max="5640" width="18" style="4" bestFit="1" customWidth="1"/>
    <col min="5641" max="5641" width="17.7109375" style="4" bestFit="1" customWidth="1"/>
    <col min="5642" max="5642" width="13.5703125" style="4" customWidth="1"/>
    <col min="5643" max="5643" width="18.5703125" style="4" bestFit="1" customWidth="1"/>
    <col min="5644" max="5644" width="15.5703125" style="4" customWidth="1"/>
    <col min="5645" max="5645" width="13.5703125" style="4" customWidth="1"/>
    <col min="5646" max="5646" width="14.5703125" style="4" bestFit="1" customWidth="1"/>
    <col min="5647" max="5888" width="11.42578125" style="4"/>
    <col min="5889" max="5889" width="2.5703125" style="4" customWidth="1"/>
    <col min="5890" max="5890" width="22.42578125" style="4" customWidth="1"/>
    <col min="5891" max="5891" width="12.140625" style="4" bestFit="1" customWidth="1"/>
    <col min="5892" max="5892" width="8.140625" style="4" customWidth="1"/>
    <col min="5893" max="5893" width="8.5703125" style="4" customWidth="1"/>
    <col min="5894" max="5894" width="17" style="4" bestFit="1" customWidth="1"/>
    <col min="5895" max="5895" width="16.7109375" style="4" bestFit="1" customWidth="1"/>
    <col min="5896" max="5896" width="18" style="4" bestFit="1" customWidth="1"/>
    <col min="5897" max="5897" width="17.7109375" style="4" bestFit="1" customWidth="1"/>
    <col min="5898" max="5898" width="13.5703125" style="4" customWidth="1"/>
    <col min="5899" max="5899" width="18.5703125" style="4" bestFit="1" customWidth="1"/>
    <col min="5900" max="5900" width="15.5703125" style="4" customWidth="1"/>
    <col min="5901" max="5901" width="13.5703125" style="4" customWidth="1"/>
    <col min="5902" max="5902" width="14.5703125" style="4" bestFit="1" customWidth="1"/>
    <col min="5903" max="6144" width="11.42578125" style="4"/>
    <col min="6145" max="6145" width="2.5703125" style="4" customWidth="1"/>
    <col min="6146" max="6146" width="22.42578125" style="4" customWidth="1"/>
    <col min="6147" max="6147" width="12.140625" style="4" bestFit="1" customWidth="1"/>
    <col min="6148" max="6148" width="8.140625" style="4" customWidth="1"/>
    <col min="6149" max="6149" width="8.5703125" style="4" customWidth="1"/>
    <col min="6150" max="6150" width="17" style="4" bestFit="1" customWidth="1"/>
    <col min="6151" max="6151" width="16.7109375" style="4" bestFit="1" customWidth="1"/>
    <col min="6152" max="6152" width="18" style="4" bestFit="1" customWidth="1"/>
    <col min="6153" max="6153" width="17.7109375" style="4" bestFit="1" customWidth="1"/>
    <col min="6154" max="6154" width="13.5703125" style="4" customWidth="1"/>
    <col min="6155" max="6155" width="18.5703125" style="4" bestFit="1" customWidth="1"/>
    <col min="6156" max="6156" width="15.5703125" style="4" customWidth="1"/>
    <col min="6157" max="6157" width="13.5703125" style="4" customWidth="1"/>
    <col min="6158" max="6158" width="14.5703125" style="4" bestFit="1" customWidth="1"/>
    <col min="6159" max="6400" width="11.42578125" style="4"/>
    <col min="6401" max="6401" width="2.5703125" style="4" customWidth="1"/>
    <col min="6402" max="6402" width="22.42578125" style="4" customWidth="1"/>
    <col min="6403" max="6403" width="12.140625" style="4" bestFit="1" customWidth="1"/>
    <col min="6404" max="6404" width="8.140625" style="4" customWidth="1"/>
    <col min="6405" max="6405" width="8.5703125" style="4" customWidth="1"/>
    <col min="6406" max="6406" width="17" style="4" bestFit="1" customWidth="1"/>
    <col min="6407" max="6407" width="16.7109375" style="4" bestFit="1" customWidth="1"/>
    <col min="6408" max="6408" width="18" style="4" bestFit="1" customWidth="1"/>
    <col min="6409" max="6409" width="17.7109375" style="4" bestFit="1" customWidth="1"/>
    <col min="6410" max="6410" width="13.5703125" style="4" customWidth="1"/>
    <col min="6411" max="6411" width="18.5703125" style="4" bestFit="1" customWidth="1"/>
    <col min="6412" max="6412" width="15.5703125" style="4" customWidth="1"/>
    <col min="6413" max="6413" width="13.5703125" style="4" customWidth="1"/>
    <col min="6414" max="6414" width="14.5703125" style="4" bestFit="1" customWidth="1"/>
    <col min="6415" max="6656" width="11.42578125" style="4"/>
    <col min="6657" max="6657" width="2.5703125" style="4" customWidth="1"/>
    <col min="6658" max="6658" width="22.42578125" style="4" customWidth="1"/>
    <col min="6659" max="6659" width="12.140625" style="4" bestFit="1" customWidth="1"/>
    <col min="6660" max="6660" width="8.140625" style="4" customWidth="1"/>
    <col min="6661" max="6661" width="8.5703125" style="4" customWidth="1"/>
    <col min="6662" max="6662" width="17" style="4" bestFit="1" customWidth="1"/>
    <col min="6663" max="6663" width="16.7109375" style="4" bestFit="1" customWidth="1"/>
    <col min="6664" max="6664" width="18" style="4" bestFit="1" customWidth="1"/>
    <col min="6665" max="6665" width="17.7109375" style="4" bestFit="1" customWidth="1"/>
    <col min="6666" max="6666" width="13.5703125" style="4" customWidth="1"/>
    <col min="6667" max="6667" width="18.5703125" style="4" bestFit="1" customWidth="1"/>
    <col min="6668" max="6668" width="15.5703125" style="4" customWidth="1"/>
    <col min="6669" max="6669" width="13.5703125" style="4" customWidth="1"/>
    <col min="6670" max="6670" width="14.5703125" style="4" bestFit="1" customWidth="1"/>
    <col min="6671" max="6912" width="11.42578125" style="4"/>
    <col min="6913" max="6913" width="2.5703125" style="4" customWidth="1"/>
    <col min="6914" max="6914" width="22.42578125" style="4" customWidth="1"/>
    <col min="6915" max="6915" width="12.140625" style="4" bestFit="1" customWidth="1"/>
    <col min="6916" max="6916" width="8.140625" style="4" customWidth="1"/>
    <col min="6917" max="6917" width="8.5703125" style="4" customWidth="1"/>
    <col min="6918" max="6918" width="17" style="4" bestFit="1" customWidth="1"/>
    <col min="6919" max="6919" width="16.7109375" style="4" bestFit="1" customWidth="1"/>
    <col min="6920" max="6920" width="18" style="4" bestFit="1" customWidth="1"/>
    <col min="6921" max="6921" width="17.7109375" style="4" bestFit="1" customWidth="1"/>
    <col min="6922" max="6922" width="13.5703125" style="4" customWidth="1"/>
    <col min="6923" max="6923" width="18.5703125" style="4" bestFit="1" customWidth="1"/>
    <col min="6924" max="6924" width="15.5703125" style="4" customWidth="1"/>
    <col min="6925" max="6925" width="13.5703125" style="4" customWidth="1"/>
    <col min="6926" max="6926" width="14.5703125" style="4" bestFit="1" customWidth="1"/>
    <col min="6927" max="7168" width="11.42578125" style="4"/>
    <col min="7169" max="7169" width="2.5703125" style="4" customWidth="1"/>
    <col min="7170" max="7170" width="22.42578125" style="4" customWidth="1"/>
    <col min="7171" max="7171" width="12.140625" style="4" bestFit="1" customWidth="1"/>
    <col min="7172" max="7172" width="8.140625" style="4" customWidth="1"/>
    <col min="7173" max="7173" width="8.5703125" style="4" customWidth="1"/>
    <col min="7174" max="7174" width="17" style="4" bestFit="1" customWidth="1"/>
    <col min="7175" max="7175" width="16.7109375" style="4" bestFit="1" customWidth="1"/>
    <col min="7176" max="7176" width="18" style="4" bestFit="1" customWidth="1"/>
    <col min="7177" max="7177" width="17.7109375" style="4" bestFit="1" customWidth="1"/>
    <col min="7178" max="7178" width="13.5703125" style="4" customWidth="1"/>
    <col min="7179" max="7179" width="18.5703125" style="4" bestFit="1" customWidth="1"/>
    <col min="7180" max="7180" width="15.5703125" style="4" customWidth="1"/>
    <col min="7181" max="7181" width="13.5703125" style="4" customWidth="1"/>
    <col min="7182" max="7182" width="14.5703125" style="4" bestFit="1" customWidth="1"/>
    <col min="7183" max="7424" width="11.42578125" style="4"/>
    <col min="7425" max="7425" width="2.5703125" style="4" customWidth="1"/>
    <col min="7426" max="7426" width="22.42578125" style="4" customWidth="1"/>
    <col min="7427" max="7427" width="12.140625" style="4" bestFit="1" customWidth="1"/>
    <col min="7428" max="7428" width="8.140625" style="4" customWidth="1"/>
    <col min="7429" max="7429" width="8.5703125" style="4" customWidth="1"/>
    <col min="7430" max="7430" width="17" style="4" bestFit="1" customWidth="1"/>
    <col min="7431" max="7431" width="16.7109375" style="4" bestFit="1" customWidth="1"/>
    <col min="7432" max="7432" width="18" style="4" bestFit="1" customWidth="1"/>
    <col min="7433" max="7433" width="17.7109375" style="4" bestFit="1" customWidth="1"/>
    <col min="7434" max="7434" width="13.5703125" style="4" customWidth="1"/>
    <col min="7435" max="7435" width="18.5703125" style="4" bestFit="1" customWidth="1"/>
    <col min="7436" max="7436" width="15.5703125" style="4" customWidth="1"/>
    <col min="7437" max="7437" width="13.5703125" style="4" customWidth="1"/>
    <col min="7438" max="7438" width="14.5703125" style="4" bestFit="1" customWidth="1"/>
    <col min="7439" max="7680" width="11.42578125" style="4"/>
    <col min="7681" max="7681" width="2.5703125" style="4" customWidth="1"/>
    <col min="7682" max="7682" width="22.42578125" style="4" customWidth="1"/>
    <col min="7683" max="7683" width="12.140625" style="4" bestFit="1" customWidth="1"/>
    <col min="7684" max="7684" width="8.140625" style="4" customWidth="1"/>
    <col min="7685" max="7685" width="8.5703125" style="4" customWidth="1"/>
    <col min="7686" max="7686" width="17" style="4" bestFit="1" customWidth="1"/>
    <col min="7687" max="7687" width="16.7109375" style="4" bestFit="1" customWidth="1"/>
    <col min="7688" max="7688" width="18" style="4" bestFit="1" customWidth="1"/>
    <col min="7689" max="7689" width="17.7109375" style="4" bestFit="1" customWidth="1"/>
    <col min="7690" max="7690" width="13.5703125" style="4" customWidth="1"/>
    <col min="7691" max="7691" width="18.5703125" style="4" bestFit="1" customWidth="1"/>
    <col min="7692" max="7692" width="15.5703125" style="4" customWidth="1"/>
    <col min="7693" max="7693" width="13.5703125" style="4" customWidth="1"/>
    <col min="7694" max="7694" width="14.5703125" style="4" bestFit="1" customWidth="1"/>
    <col min="7695" max="7936" width="11.42578125" style="4"/>
    <col min="7937" max="7937" width="2.5703125" style="4" customWidth="1"/>
    <col min="7938" max="7938" width="22.42578125" style="4" customWidth="1"/>
    <col min="7939" max="7939" width="12.140625" style="4" bestFit="1" customWidth="1"/>
    <col min="7940" max="7940" width="8.140625" style="4" customWidth="1"/>
    <col min="7941" max="7941" width="8.5703125" style="4" customWidth="1"/>
    <col min="7942" max="7942" width="17" style="4" bestFit="1" customWidth="1"/>
    <col min="7943" max="7943" width="16.7109375" style="4" bestFit="1" customWidth="1"/>
    <col min="7944" max="7944" width="18" style="4" bestFit="1" customWidth="1"/>
    <col min="7945" max="7945" width="17.7109375" style="4" bestFit="1" customWidth="1"/>
    <col min="7946" max="7946" width="13.5703125" style="4" customWidth="1"/>
    <col min="7947" max="7947" width="18.5703125" style="4" bestFit="1" customWidth="1"/>
    <col min="7948" max="7948" width="15.5703125" style="4" customWidth="1"/>
    <col min="7949" max="7949" width="13.5703125" style="4" customWidth="1"/>
    <col min="7950" max="7950" width="14.5703125" style="4" bestFit="1" customWidth="1"/>
    <col min="7951" max="8192" width="11.42578125" style="4"/>
    <col min="8193" max="8193" width="2.5703125" style="4" customWidth="1"/>
    <col min="8194" max="8194" width="22.42578125" style="4" customWidth="1"/>
    <col min="8195" max="8195" width="12.140625" style="4" bestFit="1" customWidth="1"/>
    <col min="8196" max="8196" width="8.140625" style="4" customWidth="1"/>
    <col min="8197" max="8197" width="8.5703125" style="4" customWidth="1"/>
    <col min="8198" max="8198" width="17" style="4" bestFit="1" customWidth="1"/>
    <col min="8199" max="8199" width="16.7109375" style="4" bestFit="1" customWidth="1"/>
    <col min="8200" max="8200" width="18" style="4" bestFit="1" customWidth="1"/>
    <col min="8201" max="8201" width="17.7109375" style="4" bestFit="1" customWidth="1"/>
    <col min="8202" max="8202" width="13.5703125" style="4" customWidth="1"/>
    <col min="8203" max="8203" width="18.5703125" style="4" bestFit="1" customWidth="1"/>
    <col min="8204" max="8204" width="15.5703125" style="4" customWidth="1"/>
    <col min="8205" max="8205" width="13.5703125" style="4" customWidth="1"/>
    <col min="8206" max="8206" width="14.5703125" style="4" bestFit="1" customWidth="1"/>
    <col min="8207" max="8448" width="11.42578125" style="4"/>
    <col min="8449" max="8449" width="2.5703125" style="4" customWidth="1"/>
    <col min="8450" max="8450" width="22.42578125" style="4" customWidth="1"/>
    <col min="8451" max="8451" width="12.140625" style="4" bestFit="1" customWidth="1"/>
    <col min="8452" max="8452" width="8.140625" style="4" customWidth="1"/>
    <col min="8453" max="8453" width="8.5703125" style="4" customWidth="1"/>
    <col min="8454" max="8454" width="17" style="4" bestFit="1" customWidth="1"/>
    <col min="8455" max="8455" width="16.7109375" style="4" bestFit="1" customWidth="1"/>
    <col min="8456" max="8456" width="18" style="4" bestFit="1" customWidth="1"/>
    <col min="8457" max="8457" width="17.7109375" style="4" bestFit="1" customWidth="1"/>
    <col min="8458" max="8458" width="13.5703125" style="4" customWidth="1"/>
    <col min="8459" max="8459" width="18.5703125" style="4" bestFit="1" customWidth="1"/>
    <col min="8460" max="8460" width="15.5703125" style="4" customWidth="1"/>
    <col min="8461" max="8461" width="13.5703125" style="4" customWidth="1"/>
    <col min="8462" max="8462" width="14.5703125" style="4" bestFit="1" customWidth="1"/>
    <col min="8463" max="8704" width="11.42578125" style="4"/>
    <col min="8705" max="8705" width="2.5703125" style="4" customWidth="1"/>
    <col min="8706" max="8706" width="22.42578125" style="4" customWidth="1"/>
    <col min="8707" max="8707" width="12.140625" style="4" bestFit="1" customWidth="1"/>
    <col min="8708" max="8708" width="8.140625" style="4" customWidth="1"/>
    <col min="8709" max="8709" width="8.5703125" style="4" customWidth="1"/>
    <col min="8710" max="8710" width="17" style="4" bestFit="1" customWidth="1"/>
    <col min="8711" max="8711" width="16.7109375" style="4" bestFit="1" customWidth="1"/>
    <col min="8712" max="8712" width="18" style="4" bestFit="1" customWidth="1"/>
    <col min="8713" max="8713" width="17.7109375" style="4" bestFit="1" customWidth="1"/>
    <col min="8714" max="8714" width="13.5703125" style="4" customWidth="1"/>
    <col min="8715" max="8715" width="18.5703125" style="4" bestFit="1" customWidth="1"/>
    <col min="8716" max="8716" width="15.5703125" style="4" customWidth="1"/>
    <col min="8717" max="8717" width="13.5703125" style="4" customWidth="1"/>
    <col min="8718" max="8718" width="14.5703125" style="4" bestFit="1" customWidth="1"/>
    <col min="8719" max="8960" width="11.42578125" style="4"/>
    <col min="8961" max="8961" width="2.5703125" style="4" customWidth="1"/>
    <col min="8962" max="8962" width="22.42578125" style="4" customWidth="1"/>
    <col min="8963" max="8963" width="12.140625" style="4" bestFit="1" customWidth="1"/>
    <col min="8964" max="8964" width="8.140625" style="4" customWidth="1"/>
    <col min="8965" max="8965" width="8.5703125" style="4" customWidth="1"/>
    <col min="8966" max="8966" width="17" style="4" bestFit="1" customWidth="1"/>
    <col min="8967" max="8967" width="16.7109375" style="4" bestFit="1" customWidth="1"/>
    <col min="8968" max="8968" width="18" style="4" bestFit="1" customWidth="1"/>
    <col min="8969" max="8969" width="17.7109375" style="4" bestFit="1" customWidth="1"/>
    <col min="8970" max="8970" width="13.5703125" style="4" customWidth="1"/>
    <col min="8971" max="8971" width="18.5703125" style="4" bestFit="1" customWidth="1"/>
    <col min="8972" max="8972" width="15.5703125" style="4" customWidth="1"/>
    <col min="8973" max="8973" width="13.5703125" style="4" customWidth="1"/>
    <col min="8974" max="8974" width="14.5703125" style="4" bestFit="1" customWidth="1"/>
    <col min="8975" max="9216" width="11.42578125" style="4"/>
    <col min="9217" max="9217" width="2.5703125" style="4" customWidth="1"/>
    <col min="9218" max="9218" width="22.42578125" style="4" customWidth="1"/>
    <col min="9219" max="9219" width="12.140625" style="4" bestFit="1" customWidth="1"/>
    <col min="9220" max="9220" width="8.140625" style="4" customWidth="1"/>
    <col min="9221" max="9221" width="8.5703125" style="4" customWidth="1"/>
    <col min="9222" max="9222" width="17" style="4" bestFit="1" customWidth="1"/>
    <col min="9223" max="9223" width="16.7109375" style="4" bestFit="1" customWidth="1"/>
    <col min="9224" max="9224" width="18" style="4" bestFit="1" customWidth="1"/>
    <col min="9225" max="9225" width="17.7109375" style="4" bestFit="1" customWidth="1"/>
    <col min="9226" max="9226" width="13.5703125" style="4" customWidth="1"/>
    <col min="9227" max="9227" width="18.5703125" style="4" bestFit="1" customWidth="1"/>
    <col min="9228" max="9228" width="15.5703125" style="4" customWidth="1"/>
    <col min="9229" max="9229" width="13.5703125" style="4" customWidth="1"/>
    <col min="9230" max="9230" width="14.5703125" style="4" bestFit="1" customWidth="1"/>
    <col min="9231" max="9472" width="11.42578125" style="4"/>
    <col min="9473" max="9473" width="2.5703125" style="4" customWidth="1"/>
    <col min="9474" max="9474" width="22.42578125" style="4" customWidth="1"/>
    <col min="9475" max="9475" width="12.140625" style="4" bestFit="1" customWidth="1"/>
    <col min="9476" max="9476" width="8.140625" style="4" customWidth="1"/>
    <col min="9477" max="9477" width="8.5703125" style="4" customWidth="1"/>
    <col min="9478" max="9478" width="17" style="4" bestFit="1" customWidth="1"/>
    <col min="9479" max="9479" width="16.7109375" style="4" bestFit="1" customWidth="1"/>
    <col min="9480" max="9480" width="18" style="4" bestFit="1" customWidth="1"/>
    <col min="9481" max="9481" width="17.7109375" style="4" bestFit="1" customWidth="1"/>
    <col min="9482" max="9482" width="13.5703125" style="4" customWidth="1"/>
    <col min="9483" max="9483" width="18.5703125" style="4" bestFit="1" customWidth="1"/>
    <col min="9484" max="9484" width="15.5703125" style="4" customWidth="1"/>
    <col min="9485" max="9485" width="13.5703125" style="4" customWidth="1"/>
    <col min="9486" max="9486" width="14.5703125" style="4" bestFit="1" customWidth="1"/>
    <col min="9487" max="9728" width="11.42578125" style="4"/>
    <col min="9729" max="9729" width="2.5703125" style="4" customWidth="1"/>
    <col min="9730" max="9730" width="22.42578125" style="4" customWidth="1"/>
    <col min="9731" max="9731" width="12.140625" style="4" bestFit="1" customWidth="1"/>
    <col min="9732" max="9732" width="8.140625" style="4" customWidth="1"/>
    <col min="9733" max="9733" width="8.5703125" style="4" customWidth="1"/>
    <col min="9734" max="9734" width="17" style="4" bestFit="1" customWidth="1"/>
    <col min="9735" max="9735" width="16.7109375" style="4" bestFit="1" customWidth="1"/>
    <col min="9736" max="9736" width="18" style="4" bestFit="1" customWidth="1"/>
    <col min="9737" max="9737" width="17.7109375" style="4" bestFit="1" customWidth="1"/>
    <col min="9738" max="9738" width="13.5703125" style="4" customWidth="1"/>
    <col min="9739" max="9739" width="18.5703125" style="4" bestFit="1" customWidth="1"/>
    <col min="9740" max="9740" width="15.5703125" style="4" customWidth="1"/>
    <col min="9741" max="9741" width="13.5703125" style="4" customWidth="1"/>
    <col min="9742" max="9742" width="14.5703125" style="4" bestFit="1" customWidth="1"/>
    <col min="9743" max="9984" width="11.42578125" style="4"/>
    <col min="9985" max="9985" width="2.5703125" style="4" customWidth="1"/>
    <col min="9986" max="9986" width="22.42578125" style="4" customWidth="1"/>
    <col min="9987" max="9987" width="12.140625" style="4" bestFit="1" customWidth="1"/>
    <col min="9988" max="9988" width="8.140625" style="4" customWidth="1"/>
    <col min="9989" max="9989" width="8.5703125" style="4" customWidth="1"/>
    <col min="9990" max="9990" width="17" style="4" bestFit="1" customWidth="1"/>
    <col min="9991" max="9991" width="16.7109375" style="4" bestFit="1" customWidth="1"/>
    <col min="9992" max="9992" width="18" style="4" bestFit="1" customWidth="1"/>
    <col min="9993" max="9993" width="17.7109375" style="4" bestFit="1" customWidth="1"/>
    <col min="9994" max="9994" width="13.5703125" style="4" customWidth="1"/>
    <col min="9995" max="9995" width="18.5703125" style="4" bestFit="1" customWidth="1"/>
    <col min="9996" max="9996" width="15.5703125" style="4" customWidth="1"/>
    <col min="9997" max="9997" width="13.5703125" style="4" customWidth="1"/>
    <col min="9998" max="9998" width="14.5703125" style="4" bestFit="1" customWidth="1"/>
    <col min="9999" max="10240" width="11.42578125" style="4"/>
    <col min="10241" max="10241" width="2.5703125" style="4" customWidth="1"/>
    <col min="10242" max="10242" width="22.42578125" style="4" customWidth="1"/>
    <col min="10243" max="10243" width="12.140625" style="4" bestFit="1" customWidth="1"/>
    <col min="10244" max="10244" width="8.140625" style="4" customWidth="1"/>
    <col min="10245" max="10245" width="8.5703125" style="4" customWidth="1"/>
    <col min="10246" max="10246" width="17" style="4" bestFit="1" customWidth="1"/>
    <col min="10247" max="10247" width="16.7109375" style="4" bestFit="1" customWidth="1"/>
    <col min="10248" max="10248" width="18" style="4" bestFit="1" customWidth="1"/>
    <col min="10249" max="10249" width="17.7109375" style="4" bestFit="1" customWidth="1"/>
    <col min="10250" max="10250" width="13.5703125" style="4" customWidth="1"/>
    <col min="10251" max="10251" width="18.5703125" style="4" bestFit="1" customWidth="1"/>
    <col min="10252" max="10252" width="15.5703125" style="4" customWidth="1"/>
    <col min="10253" max="10253" width="13.5703125" style="4" customWidth="1"/>
    <col min="10254" max="10254" width="14.5703125" style="4" bestFit="1" customWidth="1"/>
    <col min="10255" max="10496" width="11.42578125" style="4"/>
    <col min="10497" max="10497" width="2.5703125" style="4" customWidth="1"/>
    <col min="10498" max="10498" width="22.42578125" style="4" customWidth="1"/>
    <col min="10499" max="10499" width="12.140625" style="4" bestFit="1" customWidth="1"/>
    <col min="10500" max="10500" width="8.140625" style="4" customWidth="1"/>
    <col min="10501" max="10501" width="8.5703125" style="4" customWidth="1"/>
    <col min="10502" max="10502" width="17" style="4" bestFit="1" customWidth="1"/>
    <col min="10503" max="10503" width="16.7109375" style="4" bestFit="1" customWidth="1"/>
    <col min="10504" max="10504" width="18" style="4" bestFit="1" customWidth="1"/>
    <col min="10505" max="10505" width="17.7109375" style="4" bestFit="1" customWidth="1"/>
    <col min="10506" max="10506" width="13.5703125" style="4" customWidth="1"/>
    <col min="10507" max="10507" width="18.5703125" style="4" bestFit="1" customWidth="1"/>
    <col min="10508" max="10508" width="15.5703125" style="4" customWidth="1"/>
    <col min="10509" max="10509" width="13.5703125" style="4" customWidth="1"/>
    <col min="10510" max="10510" width="14.5703125" style="4" bestFit="1" customWidth="1"/>
    <col min="10511" max="10752" width="11.42578125" style="4"/>
    <col min="10753" max="10753" width="2.5703125" style="4" customWidth="1"/>
    <col min="10754" max="10754" width="22.42578125" style="4" customWidth="1"/>
    <col min="10755" max="10755" width="12.140625" style="4" bestFit="1" customWidth="1"/>
    <col min="10756" max="10756" width="8.140625" style="4" customWidth="1"/>
    <col min="10757" max="10757" width="8.5703125" style="4" customWidth="1"/>
    <col min="10758" max="10758" width="17" style="4" bestFit="1" customWidth="1"/>
    <col min="10759" max="10759" width="16.7109375" style="4" bestFit="1" customWidth="1"/>
    <col min="10760" max="10760" width="18" style="4" bestFit="1" customWidth="1"/>
    <col min="10761" max="10761" width="17.7109375" style="4" bestFit="1" customWidth="1"/>
    <col min="10762" max="10762" width="13.5703125" style="4" customWidth="1"/>
    <col min="10763" max="10763" width="18.5703125" style="4" bestFit="1" customWidth="1"/>
    <col min="10764" max="10764" width="15.5703125" style="4" customWidth="1"/>
    <col min="10765" max="10765" width="13.5703125" style="4" customWidth="1"/>
    <col min="10766" max="10766" width="14.5703125" style="4" bestFit="1" customWidth="1"/>
    <col min="10767" max="11008" width="11.42578125" style="4"/>
    <col min="11009" max="11009" width="2.5703125" style="4" customWidth="1"/>
    <col min="11010" max="11010" width="22.42578125" style="4" customWidth="1"/>
    <col min="11011" max="11011" width="12.140625" style="4" bestFit="1" customWidth="1"/>
    <col min="11012" max="11012" width="8.140625" style="4" customWidth="1"/>
    <col min="11013" max="11013" width="8.5703125" style="4" customWidth="1"/>
    <col min="11014" max="11014" width="17" style="4" bestFit="1" customWidth="1"/>
    <col min="11015" max="11015" width="16.7109375" style="4" bestFit="1" customWidth="1"/>
    <col min="11016" max="11016" width="18" style="4" bestFit="1" customWidth="1"/>
    <col min="11017" max="11017" width="17.7109375" style="4" bestFit="1" customWidth="1"/>
    <col min="11018" max="11018" width="13.5703125" style="4" customWidth="1"/>
    <col min="11019" max="11019" width="18.5703125" style="4" bestFit="1" customWidth="1"/>
    <col min="11020" max="11020" width="15.5703125" style="4" customWidth="1"/>
    <col min="11021" max="11021" width="13.5703125" style="4" customWidth="1"/>
    <col min="11022" max="11022" width="14.5703125" style="4" bestFit="1" customWidth="1"/>
    <col min="11023" max="11264" width="11.42578125" style="4"/>
    <col min="11265" max="11265" width="2.5703125" style="4" customWidth="1"/>
    <col min="11266" max="11266" width="22.42578125" style="4" customWidth="1"/>
    <col min="11267" max="11267" width="12.140625" style="4" bestFit="1" customWidth="1"/>
    <col min="11268" max="11268" width="8.140625" style="4" customWidth="1"/>
    <col min="11269" max="11269" width="8.5703125" style="4" customWidth="1"/>
    <col min="11270" max="11270" width="17" style="4" bestFit="1" customWidth="1"/>
    <col min="11271" max="11271" width="16.7109375" style="4" bestFit="1" customWidth="1"/>
    <col min="11272" max="11272" width="18" style="4" bestFit="1" customWidth="1"/>
    <col min="11273" max="11273" width="17.7109375" style="4" bestFit="1" customWidth="1"/>
    <col min="11274" max="11274" width="13.5703125" style="4" customWidth="1"/>
    <col min="11275" max="11275" width="18.5703125" style="4" bestFit="1" customWidth="1"/>
    <col min="11276" max="11276" width="15.5703125" style="4" customWidth="1"/>
    <col min="11277" max="11277" width="13.5703125" style="4" customWidth="1"/>
    <col min="11278" max="11278" width="14.5703125" style="4" bestFit="1" customWidth="1"/>
    <col min="11279" max="11520" width="11.42578125" style="4"/>
    <col min="11521" max="11521" width="2.5703125" style="4" customWidth="1"/>
    <col min="11522" max="11522" width="22.42578125" style="4" customWidth="1"/>
    <col min="11523" max="11523" width="12.140625" style="4" bestFit="1" customWidth="1"/>
    <col min="11524" max="11524" width="8.140625" style="4" customWidth="1"/>
    <col min="11525" max="11525" width="8.5703125" style="4" customWidth="1"/>
    <col min="11526" max="11526" width="17" style="4" bestFit="1" customWidth="1"/>
    <col min="11527" max="11527" width="16.7109375" style="4" bestFit="1" customWidth="1"/>
    <col min="11528" max="11528" width="18" style="4" bestFit="1" customWidth="1"/>
    <col min="11529" max="11529" width="17.7109375" style="4" bestFit="1" customWidth="1"/>
    <col min="11530" max="11530" width="13.5703125" style="4" customWidth="1"/>
    <col min="11531" max="11531" width="18.5703125" style="4" bestFit="1" customWidth="1"/>
    <col min="11532" max="11532" width="15.5703125" style="4" customWidth="1"/>
    <col min="11533" max="11533" width="13.5703125" style="4" customWidth="1"/>
    <col min="11534" max="11534" width="14.5703125" style="4" bestFit="1" customWidth="1"/>
    <col min="11535" max="11776" width="11.42578125" style="4"/>
    <col min="11777" max="11777" width="2.5703125" style="4" customWidth="1"/>
    <col min="11778" max="11778" width="22.42578125" style="4" customWidth="1"/>
    <col min="11779" max="11779" width="12.140625" style="4" bestFit="1" customWidth="1"/>
    <col min="11780" max="11780" width="8.140625" style="4" customWidth="1"/>
    <col min="11781" max="11781" width="8.5703125" style="4" customWidth="1"/>
    <col min="11782" max="11782" width="17" style="4" bestFit="1" customWidth="1"/>
    <col min="11783" max="11783" width="16.7109375" style="4" bestFit="1" customWidth="1"/>
    <col min="11784" max="11784" width="18" style="4" bestFit="1" customWidth="1"/>
    <col min="11785" max="11785" width="17.7109375" style="4" bestFit="1" customWidth="1"/>
    <col min="11786" max="11786" width="13.5703125" style="4" customWidth="1"/>
    <col min="11787" max="11787" width="18.5703125" style="4" bestFit="1" customWidth="1"/>
    <col min="11788" max="11788" width="15.5703125" style="4" customWidth="1"/>
    <col min="11789" max="11789" width="13.5703125" style="4" customWidth="1"/>
    <col min="11790" max="11790" width="14.5703125" style="4" bestFit="1" customWidth="1"/>
    <col min="11791" max="12032" width="11.42578125" style="4"/>
    <col min="12033" max="12033" width="2.5703125" style="4" customWidth="1"/>
    <col min="12034" max="12034" width="22.42578125" style="4" customWidth="1"/>
    <col min="12035" max="12035" width="12.140625" style="4" bestFit="1" customWidth="1"/>
    <col min="12036" max="12036" width="8.140625" style="4" customWidth="1"/>
    <col min="12037" max="12037" width="8.5703125" style="4" customWidth="1"/>
    <col min="12038" max="12038" width="17" style="4" bestFit="1" customWidth="1"/>
    <col min="12039" max="12039" width="16.7109375" style="4" bestFit="1" customWidth="1"/>
    <col min="12040" max="12040" width="18" style="4" bestFit="1" customWidth="1"/>
    <col min="12041" max="12041" width="17.7109375" style="4" bestFit="1" customWidth="1"/>
    <col min="12042" max="12042" width="13.5703125" style="4" customWidth="1"/>
    <col min="12043" max="12043" width="18.5703125" style="4" bestFit="1" customWidth="1"/>
    <col min="12044" max="12044" width="15.5703125" style="4" customWidth="1"/>
    <col min="12045" max="12045" width="13.5703125" style="4" customWidth="1"/>
    <col min="12046" max="12046" width="14.5703125" style="4" bestFit="1" customWidth="1"/>
    <col min="12047" max="12288" width="11.42578125" style="4"/>
    <col min="12289" max="12289" width="2.5703125" style="4" customWidth="1"/>
    <col min="12290" max="12290" width="22.42578125" style="4" customWidth="1"/>
    <col min="12291" max="12291" width="12.140625" style="4" bestFit="1" customWidth="1"/>
    <col min="12292" max="12292" width="8.140625" style="4" customWidth="1"/>
    <col min="12293" max="12293" width="8.5703125" style="4" customWidth="1"/>
    <col min="12294" max="12294" width="17" style="4" bestFit="1" customWidth="1"/>
    <col min="12295" max="12295" width="16.7109375" style="4" bestFit="1" customWidth="1"/>
    <col min="12296" max="12296" width="18" style="4" bestFit="1" customWidth="1"/>
    <col min="12297" max="12297" width="17.7109375" style="4" bestFit="1" customWidth="1"/>
    <col min="12298" max="12298" width="13.5703125" style="4" customWidth="1"/>
    <col min="12299" max="12299" width="18.5703125" style="4" bestFit="1" customWidth="1"/>
    <col min="12300" max="12300" width="15.5703125" style="4" customWidth="1"/>
    <col min="12301" max="12301" width="13.5703125" style="4" customWidth="1"/>
    <col min="12302" max="12302" width="14.5703125" style="4" bestFit="1" customWidth="1"/>
    <col min="12303" max="12544" width="11.42578125" style="4"/>
    <col min="12545" max="12545" width="2.5703125" style="4" customWidth="1"/>
    <col min="12546" max="12546" width="22.42578125" style="4" customWidth="1"/>
    <col min="12547" max="12547" width="12.140625" style="4" bestFit="1" customWidth="1"/>
    <col min="12548" max="12548" width="8.140625" style="4" customWidth="1"/>
    <col min="12549" max="12549" width="8.5703125" style="4" customWidth="1"/>
    <col min="12550" max="12550" width="17" style="4" bestFit="1" customWidth="1"/>
    <col min="12551" max="12551" width="16.7109375" style="4" bestFit="1" customWidth="1"/>
    <col min="12552" max="12552" width="18" style="4" bestFit="1" customWidth="1"/>
    <col min="12553" max="12553" width="17.7109375" style="4" bestFit="1" customWidth="1"/>
    <col min="12554" max="12554" width="13.5703125" style="4" customWidth="1"/>
    <col min="12555" max="12555" width="18.5703125" style="4" bestFit="1" customWidth="1"/>
    <col min="12556" max="12556" width="15.5703125" style="4" customWidth="1"/>
    <col min="12557" max="12557" width="13.5703125" style="4" customWidth="1"/>
    <col min="12558" max="12558" width="14.5703125" style="4" bestFit="1" customWidth="1"/>
    <col min="12559" max="12800" width="11.42578125" style="4"/>
    <col min="12801" max="12801" width="2.5703125" style="4" customWidth="1"/>
    <col min="12802" max="12802" width="22.42578125" style="4" customWidth="1"/>
    <col min="12803" max="12803" width="12.140625" style="4" bestFit="1" customWidth="1"/>
    <col min="12804" max="12804" width="8.140625" style="4" customWidth="1"/>
    <col min="12805" max="12805" width="8.5703125" style="4" customWidth="1"/>
    <col min="12806" max="12806" width="17" style="4" bestFit="1" customWidth="1"/>
    <col min="12807" max="12807" width="16.7109375" style="4" bestFit="1" customWidth="1"/>
    <col min="12808" max="12808" width="18" style="4" bestFit="1" customWidth="1"/>
    <col min="12809" max="12809" width="17.7109375" style="4" bestFit="1" customWidth="1"/>
    <col min="12810" max="12810" width="13.5703125" style="4" customWidth="1"/>
    <col min="12811" max="12811" width="18.5703125" style="4" bestFit="1" customWidth="1"/>
    <col min="12812" max="12812" width="15.5703125" style="4" customWidth="1"/>
    <col min="12813" max="12813" width="13.5703125" style="4" customWidth="1"/>
    <col min="12814" max="12814" width="14.5703125" style="4" bestFit="1" customWidth="1"/>
    <col min="12815" max="13056" width="11.42578125" style="4"/>
    <col min="13057" max="13057" width="2.5703125" style="4" customWidth="1"/>
    <col min="13058" max="13058" width="22.42578125" style="4" customWidth="1"/>
    <col min="13059" max="13059" width="12.140625" style="4" bestFit="1" customWidth="1"/>
    <col min="13060" max="13060" width="8.140625" style="4" customWidth="1"/>
    <col min="13061" max="13061" width="8.5703125" style="4" customWidth="1"/>
    <col min="13062" max="13062" width="17" style="4" bestFit="1" customWidth="1"/>
    <col min="13063" max="13063" width="16.7109375" style="4" bestFit="1" customWidth="1"/>
    <col min="13064" max="13064" width="18" style="4" bestFit="1" customWidth="1"/>
    <col min="13065" max="13065" width="17.7109375" style="4" bestFit="1" customWidth="1"/>
    <col min="13066" max="13066" width="13.5703125" style="4" customWidth="1"/>
    <col min="13067" max="13067" width="18.5703125" style="4" bestFit="1" customWidth="1"/>
    <col min="13068" max="13068" width="15.5703125" style="4" customWidth="1"/>
    <col min="13069" max="13069" width="13.5703125" style="4" customWidth="1"/>
    <col min="13070" max="13070" width="14.5703125" style="4" bestFit="1" customWidth="1"/>
    <col min="13071" max="13312" width="11.42578125" style="4"/>
    <col min="13313" max="13313" width="2.5703125" style="4" customWidth="1"/>
    <col min="13314" max="13314" width="22.42578125" style="4" customWidth="1"/>
    <col min="13315" max="13315" width="12.140625" style="4" bestFit="1" customWidth="1"/>
    <col min="13316" max="13316" width="8.140625" style="4" customWidth="1"/>
    <col min="13317" max="13317" width="8.5703125" style="4" customWidth="1"/>
    <col min="13318" max="13318" width="17" style="4" bestFit="1" customWidth="1"/>
    <col min="13319" max="13319" width="16.7109375" style="4" bestFit="1" customWidth="1"/>
    <col min="13320" max="13320" width="18" style="4" bestFit="1" customWidth="1"/>
    <col min="13321" max="13321" width="17.7109375" style="4" bestFit="1" customWidth="1"/>
    <col min="13322" max="13322" width="13.5703125" style="4" customWidth="1"/>
    <col min="13323" max="13323" width="18.5703125" style="4" bestFit="1" customWidth="1"/>
    <col min="13324" max="13324" width="15.5703125" style="4" customWidth="1"/>
    <col min="13325" max="13325" width="13.5703125" style="4" customWidth="1"/>
    <col min="13326" max="13326" width="14.5703125" style="4" bestFit="1" customWidth="1"/>
    <col min="13327" max="13568" width="11.42578125" style="4"/>
    <col min="13569" max="13569" width="2.5703125" style="4" customWidth="1"/>
    <col min="13570" max="13570" width="22.42578125" style="4" customWidth="1"/>
    <col min="13571" max="13571" width="12.140625" style="4" bestFit="1" customWidth="1"/>
    <col min="13572" max="13572" width="8.140625" style="4" customWidth="1"/>
    <col min="13573" max="13573" width="8.5703125" style="4" customWidth="1"/>
    <col min="13574" max="13574" width="17" style="4" bestFit="1" customWidth="1"/>
    <col min="13575" max="13575" width="16.7109375" style="4" bestFit="1" customWidth="1"/>
    <col min="13576" max="13576" width="18" style="4" bestFit="1" customWidth="1"/>
    <col min="13577" max="13577" width="17.7109375" style="4" bestFit="1" customWidth="1"/>
    <col min="13578" max="13578" width="13.5703125" style="4" customWidth="1"/>
    <col min="13579" max="13579" width="18.5703125" style="4" bestFit="1" customWidth="1"/>
    <col min="13580" max="13580" width="15.5703125" style="4" customWidth="1"/>
    <col min="13581" max="13581" width="13.5703125" style="4" customWidth="1"/>
    <col min="13582" max="13582" width="14.5703125" style="4" bestFit="1" customWidth="1"/>
    <col min="13583" max="13824" width="11.42578125" style="4"/>
    <col min="13825" max="13825" width="2.5703125" style="4" customWidth="1"/>
    <col min="13826" max="13826" width="22.42578125" style="4" customWidth="1"/>
    <col min="13827" max="13827" width="12.140625" style="4" bestFit="1" customWidth="1"/>
    <col min="13828" max="13828" width="8.140625" style="4" customWidth="1"/>
    <col min="13829" max="13829" width="8.5703125" style="4" customWidth="1"/>
    <col min="13830" max="13830" width="17" style="4" bestFit="1" customWidth="1"/>
    <col min="13831" max="13831" width="16.7109375" style="4" bestFit="1" customWidth="1"/>
    <col min="13832" max="13832" width="18" style="4" bestFit="1" customWidth="1"/>
    <col min="13833" max="13833" width="17.7109375" style="4" bestFit="1" customWidth="1"/>
    <col min="13834" max="13834" width="13.5703125" style="4" customWidth="1"/>
    <col min="13835" max="13835" width="18.5703125" style="4" bestFit="1" customWidth="1"/>
    <col min="13836" max="13836" width="15.5703125" style="4" customWidth="1"/>
    <col min="13837" max="13837" width="13.5703125" style="4" customWidth="1"/>
    <col min="13838" max="13838" width="14.5703125" style="4" bestFit="1" customWidth="1"/>
    <col min="13839" max="14080" width="11.42578125" style="4"/>
    <col min="14081" max="14081" width="2.5703125" style="4" customWidth="1"/>
    <col min="14082" max="14082" width="22.42578125" style="4" customWidth="1"/>
    <col min="14083" max="14083" width="12.140625" style="4" bestFit="1" customWidth="1"/>
    <col min="14084" max="14084" width="8.140625" style="4" customWidth="1"/>
    <col min="14085" max="14085" width="8.5703125" style="4" customWidth="1"/>
    <col min="14086" max="14086" width="17" style="4" bestFit="1" customWidth="1"/>
    <col min="14087" max="14087" width="16.7109375" style="4" bestFit="1" customWidth="1"/>
    <col min="14088" max="14088" width="18" style="4" bestFit="1" customWidth="1"/>
    <col min="14089" max="14089" width="17.7109375" style="4" bestFit="1" customWidth="1"/>
    <col min="14090" max="14090" width="13.5703125" style="4" customWidth="1"/>
    <col min="14091" max="14091" width="18.5703125" style="4" bestFit="1" customWidth="1"/>
    <col min="14092" max="14092" width="15.5703125" style="4" customWidth="1"/>
    <col min="14093" max="14093" width="13.5703125" style="4" customWidth="1"/>
    <col min="14094" max="14094" width="14.5703125" style="4" bestFit="1" customWidth="1"/>
    <col min="14095" max="14336" width="11.42578125" style="4"/>
    <col min="14337" max="14337" width="2.5703125" style="4" customWidth="1"/>
    <col min="14338" max="14338" width="22.42578125" style="4" customWidth="1"/>
    <col min="14339" max="14339" width="12.140625" style="4" bestFit="1" customWidth="1"/>
    <col min="14340" max="14340" width="8.140625" style="4" customWidth="1"/>
    <col min="14341" max="14341" width="8.5703125" style="4" customWidth="1"/>
    <col min="14342" max="14342" width="17" style="4" bestFit="1" customWidth="1"/>
    <col min="14343" max="14343" width="16.7109375" style="4" bestFit="1" customWidth="1"/>
    <col min="14344" max="14344" width="18" style="4" bestFit="1" customWidth="1"/>
    <col min="14345" max="14345" width="17.7109375" style="4" bestFit="1" customWidth="1"/>
    <col min="14346" max="14346" width="13.5703125" style="4" customWidth="1"/>
    <col min="14347" max="14347" width="18.5703125" style="4" bestFit="1" customWidth="1"/>
    <col min="14348" max="14348" width="15.5703125" style="4" customWidth="1"/>
    <col min="14349" max="14349" width="13.5703125" style="4" customWidth="1"/>
    <col min="14350" max="14350" width="14.5703125" style="4" bestFit="1" customWidth="1"/>
    <col min="14351" max="14592" width="11.42578125" style="4"/>
    <col min="14593" max="14593" width="2.5703125" style="4" customWidth="1"/>
    <col min="14594" max="14594" width="22.42578125" style="4" customWidth="1"/>
    <col min="14595" max="14595" width="12.140625" style="4" bestFit="1" customWidth="1"/>
    <col min="14596" max="14596" width="8.140625" style="4" customWidth="1"/>
    <col min="14597" max="14597" width="8.5703125" style="4" customWidth="1"/>
    <col min="14598" max="14598" width="17" style="4" bestFit="1" customWidth="1"/>
    <col min="14599" max="14599" width="16.7109375" style="4" bestFit="1" customWidth="1"/>
    <col min="14600" max="14600" width="18" style="4" bestFit="1" customWidth="1"/>
    <col min="14601" max="14601" width="17.7109375" style="4" bestFit="1" customWidth="1"/>
    <col min="14602" max="14602" width="13.5703125" style="4" customWidth="1"/>
    <col min="14603" max="14603" width="18.5703125" style="4" bestFit="1" customWidth="1"/>
    <col min="14604" max="14604" width="15.5703125" style="4" customWidth="1"/>
    <col min="14605" max="14605" width="13.5703125" style="4" customWidth="1"/>
    <col min="14606" max="14606" width="14.5703125" style="4" bestFit="1" customWidth="1"/>
    <col min="14607" max="14848" width="11.42578125" style="4"/>
    <col min="14849" max="14849" width="2.5703125" style="4" customWidth="1"/>
    <col min="14850" max="14850" width="22.42578125" style="4" customWidth="1"/>
    <col min="14851" max="14851" width="12.140625" style="4" bestFit="1" customWidth="1"/>
    <col min="14852" max="14852" width="8.140625" style="4" customWidth="1"/>
    <col min="14853" max="14853" width="8.5703125" style="4" customWidth="1"/>
    <col min="14854" max="14854" width="17" style="4" bestFit="1" customWidth="1"/>
    <col min="14855" max="14855" width="16.7109375" style="4" bestFit="1" customWidth="1"/>
    <col min="14856" max="14856" width="18" style="4" bestFit="1" customWidth="1"/>
    <col min="14857" max="14857" width="17.7109375" style="4" bestFit="1" customWidth="1"/>
    <col min="14858" max="14858" width="13.5703125" style="4" customWidth="1"/>
    <col min="14859" max="14859" width="18.5703125" style="4" bestFit="1" customWidth="1"/>
    <col min="14860" max="14860" width="15.5703125" style="4" customWidth="1"/>
    <col min="14861" max="14861" width="13.5703125" style="4" customWidth="1"/>
    <col min="14862" max="14862" width="14.5703125" style="4" bestFit="1" customWidth="1"/>
    <col min="14863" max="15104" width="11.42578125" style="4"/>
    <col min="15105" max="15105" width="2.5703125" style="4" customWidth="1"/>
    <col min="15106" max="15106" width="22.42578125" style="4" customWidth="1"/>
    <col min="15107" max="15107" width="12.140625" style="4" bestFit="1" customWidth="1"/>
    <col min="15108" max="15108" width="8.140625" style="4" customWidth="1"/>
    <col min="15109" max="15109" width="8.5703125" style="4" customWidth="1"/>
    <col min="15110" max="15110" width="17" style="4" bestFit="1" customWidth="1"/>
    <col min="15111" max="15111" width="16.7109375" style="4" bestFit="1" customWidth="1"/>
    <col min="15112" max="15112" width="18" style="4" bestFit="1" customWidth="1"/>
    <col min="15113" max="15113" width="17.7109375" style="4" bestFit="1" customWidth="1"/>
    <col min="15114" max="15114" width="13.5703125" style="4" customWidth="1"/>
    <col min="15115" max="15115" width="18.5703125" style="4" bestFit="1" customWidth="1"/>
    <col min="15116" max="15116" width="15.5703125" style="4" customWidth="1"/>
    <col min="15117" max="15117" width="13.5703125" style="4" customWidth="1"/>
    <col min="15118" max="15118" width="14.5703125" style="4" bestFit="1" customWidth="1"/>
    <col min="15119" max="15360" width="11.42578125" style="4"/>
    <col min="15361" max="15361" width="2.5703125" style="4" customWidth="1"/>
    <col min="15362" max="15362" width="22.42578125" style="4" customWidth="1"/>
    <col min="15363" max="15363" width="12.140625" style="4" bestFit="1" customWidth="1"/>
    <col min="15364" max="15364" width="8.140625" style="4" customWidth="1"/>
    <col min="15365" max="15365" width="8.5703125" style="4" customWidth="1"/>
    <col min="15366" max="15366" width="17" style="4" bestFit="1" customWidth="1"/>
    <col min="15367" max="15367" width="16.7109375" style="4" bestFit="1" customWidth="1"/>
    <col min="15368" max="15368" width="18" style="4" bestFit="1" customWidth="1"/>
    <col min="15369" max="15369" width="17.7109375" style="4" bestFit="1" customWidth="1"/>
    <col min="15370" max="15370" width="13.5703125" style="4" customWidth="1"/>
    <col min="15371" max="15371" width="18.5703125" style="4" bestFit="1" customWidth="1"/>
    <col min="15372" max="15372" width="15.5703125" style="4" customWidth="1"/>
    <col min="15373" max="15373" width="13.5703125" style="4" customWidth="1"/>
    <col min="15374" max="15374" width="14.5703125" style="4" bestFit="1" customWidth="1"/>
    <col min="15375" max="15616" width="11.42578125" style="4"/>
    <col min="15617" max="15617" width="2.5703125" style="4" customWidth="1"/>
    <col min="15618" max="15618" width="22.42578125" style="4" customWidth="1"/>
    <col min="15619" max="15619" width="12.140625" style="4" bestFit="1" customWidth="1"/>
    <col min="15620" max="15620" width="8.140625" style="4" customWidth="1"/>
    <col min="15621" max="15621" width="8.5703125" style="4" customWidth="1"/>
    <col min="15622" max="15622" width="17" style="4" bestFit="1" customWidth="1"/>
    <col min="15623" max="15623" width="16.7109375" style="4" bestFit="1" customWidth="1"/>
    <col min="15624" max="15624" width="18" style="4" bestFit="1" customWidth="1"/>
    <col min="15625" max="15625" width="17.7109375" style="4" bestFit="1" customWidth="1"/>
    <col min="15626" max="15626" width="13.5703125" style="4" customWidth="1"/>
    <col min="15627" max="15627" width="18.5703125" style="4" bestFit="1" customWidth="1"/>
    <col min="15628" max="15628" width="15.5703125" style="4" customWidth="1"/>
    <col min="15629" max="15629" width="13.5703125" style="4" customWidth="1"/>
    <col min="15630" max="15630" width="14.5703125" style="4" bestFit="1" customWidth="1"/>
    <col min="15631" max="15872" width="11.42578125" style="4"/>
    <col min="15873" max="15873" width="2.5703125" style="4" customWidth="1"/>
    <col min="15874" max="15874" width="22.42578125" style="4" customWidth="1"/>
    <col min="15875" max="15875" width="12.140625" style="4" bestFit="1" customWidth="1"/>
    <col min="15876" max="15876" width="8.140625" style="4" customWidth="1"/>
    <col min="15877" max="15877" width="8.5703125" style="4" customWidth="1"/>
    <col min="15878" max="15878" width="17" style="4" bestFit="1" customWidth="1"/>
    <col min="15879" max="15879" width="16.7109375" style="4" bestFit="1" customWidth="1"/>
    <col min="15880" max="15880" width="18" style="4" bestFit="1" customWidth="1"/>
    <col min="15881" max="15881" width="17.7109375" style="4" bestFit="1" customWidth="1"/>
    <col min="15882" max="15882" width="13.5703125" style="4" customWidth="1"/>
    <col min="15883" max="15883" width="18.5703125" style="4" bestFit="1" customWidth="1"/>
    <col min="15884" max="15884" width="15.5703125" style="4" customWidth="1"/>
    <col min="15885" max="15885" width="13.5703125" style="4" customWidth="1"/>
    <col min="15886" max="15886" width="14.5703125" style="4" bestFit="1" customWidth="1"/>
    <col min="15887" max="16128" width="11.42578125" style="4"/>
    <col min="16129" max="16129" width="2.5703125" style="4" customWidth="1"/>
    <col min="16130" max="16130" width="22.42578125" style="4" customWidth="1"/>
    <col min="16131" max="16131" width="12.140625" style="4" bestFit="1" customWidth="1"/>
    <col min="16132" max="16132" width="8.140625" style="4" customWidth="1"/>
    <col min="16133" max="16133" width="8.5703125" style="4" customWidth="1"/>
    <col min="16134" max="16134" width="17" style="4" bestFit="1" customWidth="1"/>
    <col min="16135" max="16135" width="16.7109375" style="4" bestFit="1" customWidth="1"/>
    <col min="16136" max="16136" width="18" style="4" bestFit="1" customWidth="1"/>
    <col min="16137" max="16137" width="17.7109375" style="4" bestFit="1" customWidth="1"/>
    <col min="16138" max="16138" width="13.5703125" style="4" customWidth="1"/>
    <col min="16139" max="16139" width="18.5703125" style="4" bestFit="1" customWidth="1"/>
    <col min="16140" max="16140" width="15.5703125" style="4" customWidth="1"/>
    <col min="16141" max="16141" width="13.5703125" style="4" customWidth="1"/>
    <col min="16142" max="16142" width="14.5703125" style="4" bestFit="1" customWidth="1"/>
    <col min="16143" max="16384" width="11.42578125" style="4"/>
  </cols>
  <sheetData>
    <row r="1" spans="1:14" x14ac:dyDescent="0.2">
      <c r="A1" s="1" t="s">
        <v>0</v>
      </c>
      <c r="B1" s="1"/>
      <c r="C1" s="2"/>
      <c r="D1" s="2"/>
      <c r="E1" s="3"/>
    </row>
    <row r="2" spans="1:14" x14ac:dyDescent="0.2">
      <c r="A2" s="6" t="s">
        <v>1</v>
      </c>
      <c r="B2" s="6"/>
      <c r="C2" s="2"/>
      <c r="D2" s="2"/>
    </row>
    <row r="3" spans="1:14" x14ac:dyDescent="0.2">
      <c r="A3" s="7" t="s">
        <v>94</v>
      </c>
      <c r="B3" s="6"/>
      <c r="C3" s="2"/>
      <c r="D3" s="2"/>
      <c r="M3" s="8"/>
    </row>
    <row r="4" spans="1:14" x14ac:dyDescent="0.2">
      <c r="A4" s="9" t="s">
        <v>3</v>
      </c>
      <c r="B4" s="9"/>
      <c r="C4" s="10" t="s">
        <v>4</v>
      </c>
      <c r="D4" s="75" t="s">
        <v>5</v>
      </c>
      <c r="E4" s="75"/>
      <c r="F4" s="10" t="s">
        <v>6</v>
      </c>
      <c r="G4" s="11" t="s">
        <v>7</v>
      </c>
      <c r="H4" s="11" t="s">
        <v>8</v>
      </c>
      <c r="I4" s="10" t="s">
        <v>9</v>
      </c>
      <c r="J4" s="62" t="s">
        <v>10</v>
      </c>
      <c r="K4" s="62" t="s">
        <v>10</v>
      </c>
      <c r="L4" s="10" t="s">
        <v>10</v>
      </c>
      <c r="M4" s="10" t="s">
        <v>10</v>
      </c>
      <c r="N4" s="3" t="s">
        <v>95</v>
      </c>
    </row>
    <row r="5" spans="1:14" x14ac:dyDescent="0.2">
      <c r="C5" s="12" t="s">
        <v>11</v>
      </c>
      <c r="D5" s="13" t="s">
        <v>12</v>
      </c>
      <c r="E5" s="13" t="s">
        <v>13</v>
      </c>
      <c r="F5" s="12" t="s">
        <v>14</v>
      </c>
      <c r="G5" s="12" t="s">
        <v>15</v>
      </c>
      <c r="H5" s="13" t="s">
        <v>16</v>
      </c>
      <c r="I5" s="13" t="s">
        <v>17</v>
      </c>
      <c r="J5" s="49" t="s">
        <v>18</v>
      </c>
      <c r="K5" s="49" t="s">
        <v>19</v>
      </c>
      <c r="L5" s="63" t="s">
        <v>20</v>
      </c>
      <c r="M5" s="15" t="s">
        <v>21</v>
      </c>
      <c r="N5" s="3" t="s">
        <v>96</v>
      </c>
    </row>
    <row r="6" spans="1:14" x14ac:dyDescent="0.2">
      <c r="A6" s="8"/>
      <c r="B6" s="8"/>
      <c r="C6" s="8"/>
      <c r="D6" s="8"/>
      <c r="E6" s="8"/>
      <c r="F6" s="16" t="s">
        <v>22</v>
      </c>
      <c r="G6" s="64" t="s">
        <v>11</v>
      </c>
      <c r="H6" s="16" t="s">
        <v>22</v>
      </c>
      <c r="I6" s="17"/>
      <c r="J6" s="8"/>
      <c r="K6" s="8"/>
      <c r="L6" s="8"/>
      <c r="M6" s="8"/>
    </row>
    <row r="7" spans="1:14" x14ac:dyDescent="0.2">
      <c r="F7" s="12"/>
      <c r="G7" s="18"/>
      <c r="H7" s="12"/>
      <c r="I7" s="13"/>
    </row>
    <row r="8" spans="1:14" x14ac:dyDescent="0.2">
      <c r="A8" s="76" t="s">
        <v>23</v>
      </c>
      <c r="B8" s="76"/>
      <c r="C8" s="4">
        <v>1649802</v>
      </c>
      <c r="D8" s="19">
        <v>0.95</v>
      </c>
      <c r="E8" s="19">
        <v>0.48</v>
      </c>
      <c r="F8" s="4">
        <v>3333325</v>
      </c>
      <c r="G8" s="4">
        <f>+J8+K8+L8+M8</f>
        <v>3561618</v>
      </c>
      <c r="H8" s="20">
        <f t="shared" ref="H8:H33" si="0">G8-F8</f>
        <v>228293</v>
      </c>
      <c r="I8" s="4">
        <v>316770</v>
      </c>
      <c r="J8" s="4">
        <v>0</v>
      </c>
      <c r="K8" s="4">
        <f>207414+863691+697471</f>
        <v>1768576</v>
      </c>
      <c r="L8" s="4">
        <v>0</v>
      </c>
      <c r="M8" s="4">
        <v>1793042</v>
      </c>
      <c r="N8" s="4">
        <f>+F8-C8</f>
        <v>1683523</v>
      </c>
    </row>
    <row r="9" spans="1:14" x14ac:dyDescent="0.2">
      <c r="A9" s="76" t="s">
        <v>82</v>
      </c>
      <c r="B9" s="76"/>
      <c r="C9" s="4">
        <v>1617733</v>
      </c>
      <c r="D9" s="19">
        <v>0.52</v>
      </c>
      <c r="E9" s="19">
        <v>0.52</v>
      </c>
      <c r="F9" s="4">
        <v>1617733</v>
      </c>
      <c r="G9" s="4">
        <f>+J9+K9+L9+M9</f>
        <v>2178579</v>
      </c>
      <c r="H9" s="20">
        <f>G9-F9</f>
        <v>560846</v>
      </c>
      <c r="I9" s="4">
        <v>356732</v>
      </c>
      <c r="J9" s="4">
        <v>0</v>
      </c>
      <c r="K9" s="4">
        <v>0</v>
      </c>
      <c r="L9" s="4">
        <v>0</v>
      </c>
      <c r="M9" s="4">
        <v>2178579</v>
      </c>
      <c r="N9" s="4">
        <f>+F9-C9</f>
        <v>0</v>
      </c>
    </row>
    <row r="10" spans="1:14" s="20" customFormat="1" x14ac:dyDescent="0.2">
      <c r="A10" s="5" t="s">
        <v>25</v>
      </c>
      <c r="B10" s="7"/>
      <c r="C10" s="4">
        <v>9541859</v>
      </c>
      <c r="D10" s="19">
        <v>0.88</v>
      </c>
      <c r="E10" s="19">
        <v>0.23</v>
      </c>
      <c r="F10" s="4">
        <v>36666878</v>
      </c>
      <c r="G10" s="20">
        <f t="shared" ref="G10:G33" si="1">+J10+K10+L10+M10</f>
        <v>40219727</v>
      </c>
      <c r="H10" s="20">
        <f t="shared" si="0"/>
        <v>3552849</v>
      </c>
      <c r="I10" s="4">
        <v>21253476</v>
      </c>
      <c r="J10" s="4">
        <v>0</v>
      </c>
      <c r="K10" s="4">
        <f>4494870+21584787+1120809</f>
        <v>27200466</v>
      </c>
      <c r="L10" s="4">
        <v>51012</v>
      </c>
      <c r="M10" s="4">
        <v>12968249</v>
      </c>
      <c r="N10" s="4">
        <f t="shared" ref="N10:N33" si="2">+F10-C10</f>
        <v>27125019</v>
      </c>
    </row>
    <row r="11" spans="1:14" s="20" customFormat="1" x14ac:dyDescent="0.2">
      <c r="A11" s="5" t="s">
        <v>26</v>
      </c>
      <c r="B11" s="5"/>
      <c r="C11" s="4">
        <v>4172446</v>
      </c>
      <c r="D11" s="19">
        <v>2.5099999999999998</v>
      </c>
      <c r="E11" s="19">
        <v>0.68</v>
      </c>
      <c r="F11" s="4">
        <v>15693336</v>
      </c>
      <c r="G11" s="20">
        <f t="shared" si="1"/>
        <v>18019409</v>
      </c>
      <c r="H11" s="20">
        <f t="shared" si="0"/>
        <v>2326073</v>
      </c>
      <c r="I11" s="4">
        <v>1273410</v>
      </c>
      <c r="J11" s="4">
        <v>0</v>
      </c>
      <c r="K11" s="4">
        <f>2010202+9117256+6635+428859</f>
        <v>11562952</v>
      </c>
      <c r="L11" s="4">
        <v>0</v>
      </c>
      <c r="M11" s="4">
        <v>6456457</v>
      </c>
      <c r="N11" s="4">
        <f t="shared" si="2"/>
        <v>11520890</v>
      </c>
    </row>
    <row r="12" spans="1:14" x14ac:dyDescent="0.2">
      <c r="A12" s="5" t="s">
        <v>27</v>
      </c>
      <c r="B12" s="5"/>
      <c r="C12" s="4">
        <v>5961142</v>
      </c>
      <c r="D12" s="19">
        <v>5.86</v>
      </c>
      <c r="E12" s="19">
        <v>0.12</v>
      </c>
      <c r="F12" s="4">
        <v>89013425</v>
      </c>
      <c r="G12" s="4">
        <f>+J12+K12+L12+M12</f>
        <v>98478620</v>
      </c>
      <c r="H12" s="20">
        <f>G12-F12</f>
        <v>9465195</v>
      </c>
      <c r="I12" s="4">
        <v>38332</v>
      </c>
      <c r="J12" s="4">
        <v>78988817</v>
      </c>
      <c r="K12" s="4">
        <f>468739+3594727</f>
        <v>4063466</v>
      </c>
      <c r="L12" s="4">
        <v>0</v>
      </c>
      <c r="M12" s="4">
        <v>15426337</v>
      </c>
      <c r="N12" s="4">
        <f t="shared" si="2"/>
        <v>83052283</v>
      </c>
    </row>
    <row r="13" spans="1:14" x14ac:dyDescent="0.2">
      <c r="A13" s="5" t="s">
        <v>28</v>
      </c>
      <c r="B13" s="5"/>
      <c r="C13" s="4">
        <v>4881666</v>
      </c>
      <c r="D13" s="19">
        <v>4.49</v>
      </c>
      <c r="E13" s="19">
        <v>0.44</v>
      </c>
      <c r="F13" s="4">
        <v>45710986</v>
      </c>
      <c r="G13" s="20">
        <f>+J13+K13+L13+M13</f>
        <v>50589636</v>
      </c>
      <c r="H13" s="20">
        <f>G13-F13</f>
        <v>4878650</v>
      </c>
      <c r="I13" s="4">
        <v>379552</v>
      </c>
      <c r="J13" s="4">
        <v>22755892</v>
      </c>
      <c r="K13" s="4">
        <f>2293112+7524407+508200+7915533</f>
        <v>18241252</v>
      </c>
      <c r="L13" s="4">
        <v>0</v>
      </c>
      <c r="M13" s="4">
        <v>9592492</v>
      </c>
      <c r="N13" s="4">
        <f>+F13-C13</f>
        <v>40829320</v>
      </c>
    </row>
    <row r="14" spans="1:14" x14ac:dyDescent="0.2">
      <c r="A14" s="77" t="s">
        <v>29</v>
      </c>
      <c r="B14" s="78"/>
      <c r="C14" s="4">
        <v>82245866</v>
      </c>
      <c r="D14" s="19">
        <v>9.98</v>
      </c>
      <c r="E14" s="19">
        <v>0.53</v>
      </c>
      <c r="F14" s="4">
        <v>1294533054</v>
      </c>
      <c r="G14" s="4">
        <f>+J14+K14+L14+M14</f>
        <v>1302536131</v>
      </c>
      <c r="H14" s="20">
        <f t="shared" si="0"/>
        <v>8003077</v>
      </c>
      <c r="I14" s="4">
        <v>37043581</v>
      </c>
      <c r="J14" s="4">
        <v>1172488423</v>
      </c>
      <c r="K14" s="4">
        <f>3464407+29571706+4458+7256684</f>
        <v>40297255</v>
      </c>
      <c r="L14" s="4">
        <v>5873</v>
      </c>
      <c r="M14" s="4">
        <v>89744580</v>
      </c>
      <c r="N14" s="4">
        <f t="shared" si="2"/>
        <v>1212287188</v>
      </c>
    </row>
    <row r="15" spans="1:14" s="20" customFormat="1" x14ac:dyDescent="0.2">
      <c r="A15" s="5" t="s">
        <v>30</v>
      </c>
      <c r="B15" s="7"/>
      <c r="C15" s="4">
        <v>6204561</v>
      </c>
      <c r="D15" s="19">
        <v>2.79</v>
      </c>
      <c r="E15" s="19">
        <v>0.76</v>
      </c>
      <c r="F15" s="4">
        <v>22630767</v>
      </c>
      <c r="G15" s="20">
        <f>+J15+K15+L15+M15</f>
        <v>23096605</v>
      </c>
      <c r="H15" s="20">
        <f t="shared" si="0"/>
        <v>465838</v>
      </c>
      <c r="I15" s="4">
        <v>267576</v>
      </c>
      <c r="J15" s="4">
        <v>0</v>
      </c>
      <c r="K15" s="4">
        <f>1705989+14720217</f>
        <v>16426206</v>
      </c>
      <c r="L15" s="4">
        <v>0</v>
      </c>
      <c r="M15" s="4">
        <v>6670399</v>
      </c>
      <c r="N15" s="20">
        <f t="shared" si="2"/>
        <v>16426206</v>
      </c>
    </row>
    <row r="16" spans="1:14" x14ac:dyDescent="0.2">
      <c r="A16" s="5" t="s">
        <v>31</v>
      </c>
      <c r="B16" s="7"/>
      <c r="C16" s="4">
        <v>39748233</v>
      </c>
      <c r="D16" s="19">
        <v>7.47</v>
      </c>
      <c r="E16" s="19">
        <v>0.26</v>
      </c>
      <c r="F16" s="4">
        <v>632471121</v>
      </c>
      <c r="G16" s="4">
        <f t="shared" si="1"/>
        <v>665990770</v>
      </c>
      <c r="H16" s="20">
        <f t="shared" si="0"/>
        <v>33519649</v>
      </c>
      <c r="I16" s="4">
        <v>3152320</v>
      </c>
      <c r="J16" s="4">
        <v>515925312</v>
      </c>
      <c r="K16" s="4">
        <f>11448040+31109262+7084974+26280144</f>
        <v>75922420</v>
      </c>
      <c r="L16" s="4">
        <v>1066250</v>
      </c>
      <c r="M16" s="4">
        <v>73076788</v>
      </c>
      <c r="N16" s="4">
        <f t="shared" si="2"/>
        <v>592722888</v>
      </c>
    </row>
    <row r="17" spans="1:14" s="23" customFormat="1" x14ac:dyDescent="0.2">
      <c r="A17" s="5" t="s">
        <v>32</v>
      </c>
      <c r="B17" s="5"/>
      <c r="C17" s="20">
        <v>7876721</v>
      </c>
      <c r="D17" s="22">
        <v>5.32</v>
      </c>
      <c r="E17" s="22">
        <v>0.13</v>
      </c>
      <c r="F17" s="20">
        <v>97303075</v>
      </c>
      <c r="G17" s="20">
        <f t="shared" si="1"/>
        <v>106958563</v>
      </c>
      <c r="H17" s="20">
        <f t="shared" si="0"/>
        <v>9655488</v>
      </c>
      <c r="I17" s="20">
        <v>136680</v>
      </c>
      <c r="J17" s="20">
        <v>95707233</v>
      </c>
      <c r="K17" s="20">
        <f>1500560+884930+989119</f>
        <v>3374609</v>
      </c>
      <c r="L17" s="20">
        <v>0</v>
      </c>
      <c r="M17" s="20">
        <v>7876721</v>
      </c>
      <c r="N17" s="20">
        <f t="shared" si="2"/>
        <v>89426354</v>
      </c>
    </row>
    <row r="18" spans="1:14" x14ac:dyDescent="0.2">
      <c r="A18" s="5" t="s">
        <v>33</v>
      </c>
      <c r="B18" s="7"/>
      <c r="C18" s="4">
        <v>18071854</v>
      </c>
      <c r="D18" s="19">
        <v>5.8</v>
      </c>
      <c r="E18" s="19">
        <v>0.22</v>
      </c>
      <c r="F18" s="4">
        <v>296044037</v>
      </c>
      <c r="G18" s="4">
        <f>+J18+K18+L18+M18</f>
        <v>327577158</v>
      </c>
      <c r="H18" s="20">
        <f t="shared" si="0"/>
        <v>31533121</v>
      </c>
      <c r="I18" s="4">
        <v>496546</v>
      </c>
      <c r="J18" s="4">
        <v>276125989</v>
      </c>
      <c r="K18" s="4">
        <f>54835+1791359</f>
        <v>1846194</v>
      </c>
      <c r="L18" s="4">
        <v>49604975</v>
      </c>
      <c r="N18" s="4">
        <f>+F18-C18</f>
        <v>277972183</v>
      </c>
    </row>
    <row r="19" spans="1:14" x14ac:dyDescent="0.2">
      <c r="A19" s="5" t="s">
        <v>34</v>
      </c>
      <c r="B19" s="5"/>
      <c r="C19" s="4">
        <v>135276819</v>
      </c>
      <c r="D19" s="19">
        <v>7.5</v>
      </c>
      <c r="E19" s="19">
        <v>0.61</v>
      </c>
      <c r="F19" s="4">
        <v>1716751011</v>
      </c>
      <c r="G19" s="4">
        <f t="shared" si="1"/>
        <v>1792263251</v>
      </c>
      <c r="H19" s="20">
        <f t="shared" si="0"/>
        <v>75512240</v>
      </c>
      <c r="I19" s="4">
        <v>32250294</v>
      </c>
      <c r="J19" s="4">
        <v>1460435798</v>
      </c>
      <c r="K19" s="4">
        <f>1953908+44259965+17738683+48761287</f>
        <v>112713843</v>
      </c>
      <c r="L19" s="4">
        <v>473101</v>
      </c>
      <c r="M19" s="4">
        <v>218640509</v>
      </c>
      <c r="N19" s="4">
        <f t="shared" si="2"/>
        <v>1581474192</v>
      </c>
    </row>
    <row r="20" spans="1:14" x14ac:dyDescent="0.2">
      <c r="A20" s="5" t="s">
        <v>36</v>
      </c>
      <c r="B20" s="5"/>
      <c r="C20" s="4">
        <v>20338144</v>
      </c>
      <c r="D20" s="19">
        <v>7.43</v>
      </c>
      <c r="E20" s="19">
        <v>0.21</v>
      </c>
      <c r="F20" s="4">
        <v>291643587</v>
      </c>
      <c r="G20" s="4">
        <f t="shared" si="1"/>
        <v>307342557</v>
      </c>
      <c r="H20" s="20">
        <f t="shared" si="0"/>
        <v>15698970</v>
      </c>
      <c r="I20" s="4">
        <v>4860780</v>
      </c>
      <c r="J20" s="4">
        <v>255646781</v>
      </c>
      <c r="K20" s="4">
        <f>2579553+10515905+4371776+13731993</f>
        <v>31199227</v>
      </c>
      <c r="L20" s="4">
        <v>158405</v>
      </c>
      <c r="M20" s="4">
        <v>20338144</v>
      </c>
      <c r="N20" s="4">
        <f t="shared" si="2"/>
        <v>271305443</v>
      </c>
    </row>
    <row r="21" spans="1:14" x14ac:dyDescent="0.2">
      <c r="A21" s="5" t="s">
        <v>37</v>
      </c>
      <c r="B21" s="5"/>
      <c r="C21" s="4">
        <v>23755324</v>
      </c>
      <c r="D21" s="19">
        <v>11.07</v>
      </c>
      <c r="E21" s="19">
        <v>0.78</v>
      </c>
      <c r="F21" s="4">
        <v>376805672</v>
      </c>
      <c r="G21" s="4">
        <f t="shared" si="1"/>
        <v>382688419</v>
      </c>
      <c r="H21" s="20">
        <f t="shared" si="0"/>
        <v>5882747</v>
      </c>
      <c r="I21" s="4">
        <v>1726993</v>
      </c>
      <c r="J21" s="4">
        <v>293432732</v>
      </c>
      <c r="K21" s="4">
        <f>2323638+13358957+20339779+25703996</f>
        <v>61726370</v>
      </c>
      <c r="L21" s="4">
        <v>459831</v>
      </c>
      <c r="M21" s="4">
        <v>27069486</v>
      </c>
      <c r="N21" s="4">
        <f t="shared" si="2"/>
        <v>353050348</v>
      </c>
    </row>
    <row r="22" spans="1:14" x14ac:dyDescent="0.2">
      <c r="A22" s="5" t="s">
        <v>38</v>
      </c>
      <c r="B22" s="5"/>
      <c r="C22" s="4">
        <v>1617733</v>
      </c>
      <c r="D22" s="19">
        <v>1.08</v>
      </c>
      <c r="E22" s="19">
        <v>7.0000000000000007E-2</v>
      </c>
      <c r="F22" s="4">
        <v>4399891</v>
      </c>
      <c r="G22" s="4">
        <f t="shared" si="1"/>
        <v>5339280</v>
      </c>
      <c r="H22" s="20">
        <f t="shared" si="0"/>
        <v>939389</v>
      </c>
      <c r="I22" s="4">
        <v>213683</v>
      </c>
      <c r="J22" s="4">
        <v>0</v>
      </c>
      <c r="K22" s="4">
        <f>284264+2497894</f>
        <v>2782158</v>
      </c>
      <c r="L22" s="4">
        <v>0</v>
      </c>
      <c r="M22" s="4">
        <v>2557122</v>
      </c>
      <c r="N22" s="4">
        <f t="shared" si="2"/>
        <v>2782158</v>
      </c>
    </row>
    <row r="23" spans="1:14" s="2" customFormat="1" x14ac:dyDescent="0.2">
      <c r="A23" s="5" t="s">
        <v>39</v>
      </c>
      <c r="B23" s="5"/>
      <c r="C23" s="4">
        <v>95734251</v>
      </c>
      <c r="D23" s="19">
        <v>10.56</v>
      </c>
      <c r="E23" s="19">
        <v>0.49</v>
      </c>
      <c r="F23" s="4">
        <v>1473710890</v>
      </c>
      <c r="G23" s="20">
        <f t="shared" si="1"/>
        <v>1484251660</v>
      </c>
      <c r="H23" s="20">
        <f t="shared" si="0"/>
        <v>10540770</v>
      </c>
      <c r="I23" s="4">
        <v>24896089</v>
      </c>
      <c r="J23" s="4">
        <v>1264632760</v>
      </c>
      <c r="K23" s="4">
        <f>4380790+53435641+9889125+35020371</f>
        <v>102725927</v>
      </c>
      <c r="L23" s="4">
        <v>221568</v>
      </c>
      <c r="M23" s="4">
        <v>116671405</v>
      </c>
      <c r="N23" s="4">
        <f t="shared" si="2"/>
        <v>1377976639</v>
      </c>
    </row>
    <row r="24" spans="1:14" s="2" customFormat="1" x14ac:dyDescent="0.2">
      <c r="A24" s="5" t="s">
        <v>40</v>
      </c>
      <c r="B24" s="5"/>
      <c r="C24" s="4">
        <v>13578743</v>
      </c>
      <c r="D24" s="19">
        <v>3.2</v>
      </c>
      <c r="E24" s="19">
        <v>0.42</v>
      </c>
      <c r="F24" s="4">
        <v>135874201</v>
      </c>
      <c r="G24" s="20">
        <f t="shared" si="1"/>
        <v>147100628</v>
      </c>
      <c r="H24" s="20">
        <f>G24-F24</f>
        <v>11226427</v>
      </c>
      <c r="I24" s="4">
        <v>9197130</v>
      </c>
      <c r="J24" s="4">
        <v>42074533</v>
      </c>
      <c r="K24" s="4">
        <f>4750832+46714732+999953+38979633</f>
        <v>91445150</v>
      </c>
      <c r="L24" s="4">
        <v>2202</v>
      </c>
      <c r="M24" s="4">
        <v>13578743</v>
      </c>
      <c r="N24" s="4">
        <f>+F24-C24</f>
        <v>122295458</v>
      </c>
    </row>
    <row r="25" spans="1:14" x14ac:dyDescent="0.2">
      <c r="A25" s="5" t="s">
        <v>41</v>
      </c>
      <c r="B25" s="7"/>
      <c r="C25" s="4">
        <v>31077237</v>
      </c>
      <c r="D25" s="19">
        <v>11.56</v>
      </c>
      <c r="E25" s="19">
        <v>0.18</v>
      </c>
      <c r="F25" s="4">
        <v>520465402</v>
      </c>
      <c r="G25" s="4">
        <f t="shared" si="1"/>
        <v>531654206</v>
      </c>
      <c r="H25" s="20">
        <f>G25-F25</f>
        <v>11188804</v>
      </c>
      <c r="I25" s="4">
        <v>64014</v>
      </c>
      <c r="J25" s="4">
        <v>451156050</v>
      </c>
      <c r="K25" s="4">
        <v>38232115</v>
      </c>
      <c r="L25" s="4">
        <v>0</v>
      </c>
      <c r="M25" s="4">
        <v>42266041</v>
      </c>
      <c r="N25" s="4">
        <f>+F25-C25</f>
        <v>489388165</v>
      </c>
    </row>
    <row r="26" spans="1:14" s="20" customFormat="1" x14ac:dyDescent="0.2">
      <c r="A26" s="5" t="s">
        <v>42</v>
      </c>
      <c r="B26" s="5"/>
      <c r="C26" s="4">
        <v>1617733</v>
      </c>
      <c r="D26" s="19">
        <v>5.08</v>
      </c>
      <c r="E26" s="19">
        <v>0.12</v>
      </c>
      <c r="F26" s="4">
        <v>19979637</v>
      </c>
      <c r="G26" s="20">
        <f t="shared" si="1"/>
        <v>21453232</v>
      </c>
      <c r="H26" s="20">
        <f t="shared" ref="H26:H32" si="3">G26-F26</f>
        <v>1473595</v>
      </c>
      <c r="I26" s="4">
        <v>20035</v>
      </c>
      <c r="J26" s="4">
        <v>17255491</v>
      </c>
      <c r="K26" s="4">
        <f>68404+778217+265282</f>
        <v>1111903</v>
      </c>
      <c r="L26" s="4">
        <v>0</v>
      </c>
      <c r="M26" s="4">
        <v>3085838</v>
      </c>
      <c r="N26" s="20">
        <f t="shared" si="2"/>
        <v>18361904</v>
      </c>
    </row>
    <row r="27" spans="1:14" s="20" customFormat="1" x14ac:dyDescent="0.2">
      <c r="A27" s="5" t="s">
        <v>97</v>
      </c>
      <c r="B27" s="5"/>
      <c r="C27" s="4">
        <v>74981714</v>
      </c>
      <c r="D27" s="19">
        <v>9.7200000000000006</v>
      </c>
      <c r="E27" s="19">
        <v>0.34</v>
      </c>
      <c r="F27" s="4">
        <v>1128812201</v>
      </c>
      <c r="G27" s="20">
        <f t="shared" si="1"/>
        <v>1130491752</v>
      </c>
      <c r="H27" s="20">
        <f t="shared" si="3"/>
        <v>1679551</v>
      </c>
      <c r="I27" s="4">
        <v>7438763</v>
      </c>
      <c r="J27" s="4">
        <v>1005891052</v>
      </c>
      <c r="K27" s="4">
        <f>8276165+15164997+1472988+24058934</f>
        <v>48973084</v>
      </c>
      <c r="L27" s="4">
        <v>193</v>
      </c>
      <c r="M27" s="4">
        <v>75627423</v>
      </c>
      <c r="N27" s="20">
        <f t="shared" si="2"/>
        <v>1053830487</v>
      </c>
    </row>
    <row r="28" spans="1:14" x14ac:dyDescent="0.2">
      <c r="A28" s="5" t="s">
        <v>98</v>
      </c>
      <c r="B28" s="5"/>
      <c r="C28" s="4">
        <v>18901475</v>
      </c>
      <c r="D28" s="19">
        <v>11.95</v>
      </c>
      <c r="E28" s="19">
        <v>0.05</v>
      </c>
      <c r="F28" s="4">
        <v>315224534</v>
      </c>
      <c r="G28" s="4">
        <f t="shared" si="1"/>
        <v>317554683</v>
      </c>
      <c r="H28" s="20">
        <f t="shared" si="3"/>
        <v>2330149</v>
      </c>
      <c r="I28" s="4">
        <v>230419</v>
      </c>
      <c r="J28" s="4">
        <v>292611952</v>
      </c>
      <c r="K28" s="4">
        <f>306038+3400375+4695</f>
        <v>3711108</v>
      </c>
      <c r="L28" s="4">
        <v>0</v>
      </c>
      <c r="M28" s="4">
        <v>21231623</v>
      </c>
      <c r="N28" s="4">
        <f>+F28-C28</f>
        <v>296323059</v>
      </c>
    </row>
    <row r="29" spans="1:14" s="20" customFormat="1" x14ac:dyDescent="0.2">
      <c r="A29" s="5" t="s">
        <v>45</v>
      </c>
      <c r="B29" s="7"/>
      <c r="C29" s="4">
        <v>35046469</v>
      </c>
      <c r="D29" s="19">
        <v>9.6</v>
      </c>
      <c r="E29" s="19">
        <v>0.34</v>
      </c>
      <c r="F29" s="4">
        <v>569961777</v>
      </c>
      <c r="G29" s="20">
        <f>+J29+K29+L29+M29</f>
        <v>581753053</v>
      </c>
      <c r="H29" s="20">
        <f>G29-F29</f>
        <v>11791276</v>
      </c>
      <c r="I29" s="4">
        <v>9277433</v>
      </c>
      <c r="J29" s="4">
        <v>520919860</v>
      </c>
      <c r="K29" s="4">
        <f>330364+1769581+13207834</f>
        <v>15307779</v>
      </c>
      <c r="L29" s="4">
        <v>231720</v>
      </c>
      <c r="M29" s="4">
        <v>45293694</v>
      </c>
      <c r="N29" s="20">
        <f>+F29-C29</f>
        <v>534915308</v>
      </c>
    </row>
    <row r="30" spans="1:14" s="20" customFormat="1" x14ac:dyDescent="0.2">
      <c r="A30" s="5" t="s">
        <v>46</v>
      </c>
      <c r="B30" s="7"/>
      <c r="C30" s="4">
        <v>64908747</v>
      </c>
      <c r="D30" s="19">
        <v>13.26</v>
      </c>
      <c r="E30" s="19">
        <v>0.43</v>
      </c>
      <c r="F30" s="4">
        <v>1069280186</v>
      </c>
      <c r="G30" s="20">
        <f t="shared" si="1"/>
        <v>1076728280</v>
      </c>
      <c r="H30" s="20">
        <f t="shared" si="3"/>
        <v>7448094</v>
      </c>
      <c r="I30" s="4">
        <v>9371184</v>
      </c>
      <c r="J30" s="4">
        <v>994207159</v>
      </c>
      <c r="K30" s="4">
        <f>1131802+5231404+1904415+2370277</f>
        <v>10637898</v>
      </c>
      <c r="L30" s="4">
        <v>0</v>
      </c>
      <c r="M30" s="4">
        <v>71883223</v>
      </c>
      <c r="N30" s="20">
        <f>+F30-C30</f>
        <v>1004371439</v>
      </c>
    </row>
    <row r="31" spans="1:14" x14ac:dyDescent="0.2">
      <c r="A31" s="5" t="s">
        <v>47</v>
      </c>
      <c r="B31" s="5"/>
      <c r="C31" s="4">
        <v>16402836</v>
      </c>
      <c r="D31" s="19">
        <v>9.0399999999999991</v>
      </c>
      <c r="E31" s="19">
        <v>0.19</v>
      </c>
      <c r="F31" s="4">
        <v>273598840</v>
      </c>
      <c r="G31" s="4">
        <f t="shared" si="1"/>
        <v>275010966</v>
      </c>
      <c r="H31" s="20">
        <f t="shared" si="3"/>
        <v>1412126</v>
      </c>
      <c r="I31" s="4">
        <v>12701586</v>
      </c>
      <c r="J31" s="4">
        <v>256112968</v>
      </c>
      <c r="K31" s="4">
        <f>647335+191711+252204</f>
        <v>1091250</v>
      </c>
      <c r="L31" s="4">
        <v>1528</v>
      </c>
      <c r="M31" s="4">
        <v>17805220</v>
      </c>
      <c r="N31" s="4">
        <f>+F31-C31</f>
        <v>257196004</v>
      </c>
    </row>
    <row r="32" spans="1:14" s="20" customFormat="1" x14ac:dyDescent="0.2">
      <c r="A32" s="5" t="s">
        <v>99</v>
      </c>
      <c r="B32" s="5"/>
      <c r="C32" s="4">
        <v>6315318</v>
      </c>
      <c r="D32" s="19">
        <v>6.25</v>
      </c>
      <c r="E32" s="19">
        <v>0.49</v>
      </c>
      <c r="F32" s="4">
        <v>62852220</v>
      </c>
      <c r="G32" s="4">
        <f t="shared" si="1"/>
        <v>63445075</v>
      </c>
      <c r="H32" s="20">
        <f t="shared" si="3"/>
        <v>592855</v>
      </c>
      <c r="I32" s="4">
        <v>1507952</v>
      </c>
      <c r="J32" s="4">
        <v>37662038</v>
      </c>
      <c r="K32" s="4">
        <f>1605364+3847069+8574373+4972336</f>
        <v>18999142</v>
      </c>
      <c r="L32" s="4">
        <v>207156</v>
      </c>
      <c r="M32" s="4">
        <v>6576739</v>
      </c>
      <c r="N32" s="4">
        <f>+F32-C32</f>
        <v>56536902</v>
      </c>
    </row>
    <row r="33" spans="1:14" x14ac:dyDescent="0.2">
      <c r="A33" s="5" t="s">
        <v>49</v>
      </c>
      <c r="B33" s="5"/>
      <c r="C33" s="4">
        <v>55976765</v>
      </c>
      <c r="D33" s="19">
        <v>9.77</v>
      </c>
      <c r="E33" s="19">
        <v>0.28999999999999998</v>
      </c>
      <c r="F33" s="4">
        <v>862746372</v>
      </c>
      <c r="G33" s="20">
        <f t="shared" si="1"/>
        <v>873925391</v>
      </c>
      <c r="H33" s="20">
        <f t="shared" si="0"/>
        <v>11179019</v>
      </c>
      <c r="I33" s="4">
        <v>6501060</v>
      </c>
      <c r="J33" s="4">
        <v>786128755</v>
      </c>
      <c r="K33" s="4">
        <f>670217+7826687+5463851+7126409</f>
        <v>21087164</v>
      </c>
      <c r="L33" s="4">
        <v>0</v>
      </c>
      <c r="M33" s="4">
        <v>66709472</v>
      </c>
      <c r="N33" s="4">
        <f t="shared" si="2"/>
        <v>806769607</v>
      </c>
    </row>
    <row r="34" spans="1:14" x14ac:dyDescent="0.2">
      <c r="A34" s="24" t="s">
        <v>50</v>
      </c>
      <c r="B34" s="24"/>
      <c r="C34" s="25">
        <f>SUM(C8:C33)</f>
        <v>777501191</v>
      </c>
      <c r="D34" s="26"/>
      <c r="E34" s="26"/>
      <c r="F34" s="25">
        <f t="shared" ref="F34:M34" si="4">SUM(F8:F33)</f>
        <v>11357124158</v>
      </c>
      <c r="G34" s="25">
        <f t="shared" si="4"/>
        <v>11630209249</v>
      </c>
      <c r="H34" s="25">
        <f t="shared" si="4"/>
        <v>273085091</v>
      </c>
      <c r="I34" s="25">
        <f t="shared" si="4"/>
        <v>184972390</v>
      </c>
      <c r="J34" s="25">
        <f t="shared" si="4"/>
        <v>9840159595</v>
      </c>
      <c r="K34" s="25">
        <f t="shared" si="4"/>
        <v>762447514</v>
      </c>
      <c r="L34" s="25">
        <f t="shared" si="4"/>
        <v>52483814</v>
      </c>
      <c r="M34" s="25">
        <f t="shared" si="4"/>
        <v>975118326</v>
      </c>
      <c r="N34" s="4">
        <f>SUM(N8:N33)</f>
        <v>10579622967</v>
      </c>
    </row>
    <row r="35" spans="1:14" x14ac:dyDescent="0.2">
      <c r="A35" s="27"/>
      <c r="B35" s="27"/>
      <c r="D35" s="19"/>
      <c r="E35" s="19"/>
      <c r="M35" s="28"/>
    </row>
    <row r="36" spans="1:14" s="20" customFormat="1" x14ac:dyDescent="0.2">
      <c r="A36" s="5" t="s">
        <v>51</v>
      </c>
      <c r="B36" s="5"/>
      <c r="C36" s="4">
        <v>2585532</v>
      </c>
      <c r="D36" s="19">
        <v>2.27</v>
      </c>
      <c r="E36" s="19">
        <v>0.04</v>
      </c>
      <c r="F36" s="4">
        <v>43255001</v>
      </c>
      <c r="G36" s="4">
        <f>+J36+K36+L36+M36</f>
        <v>49449172</v>
      </c>
      <c r="H36" s="20">
        <f>G36-F36</f>
        <v>6194171</v>
      </c>
      <c r="I36" s="4">
        <v>9158371</v>
      </c>
      <c r="J36" s="4">
        <v>40545108</v>
      </c>
      <c r="K36" s="4">
        <f>107130+17231+0</f>
        <v>124361</v>
      </c>
      <c r="L36" s="4">
        <v>0</v>
      </c>
      <c r="M36" s="4">
        <v>8779703</v>
      </c>
      <c r="N36" s="4">
        <f>+F36-C36</f>
        <v>40669469</v>
      </c>
    </row>
    <row r="37" spans="1:14" x14ac:dyDescent="0.2">
      <c r="A37" s="29" t="s">
        <v>52</v>
      </c>
      <c r="B37" s="29"/>
      <c r="C37" s="25">
        <f t="shared" ref="C37:N37" si="5">SUM(C36:C36)</f>
        <v>2585532</v>
      </c>
      <c r="D37" s="26"/>
      <c r="E37" s="26"/>
      <c r="F37" s="25">
        <f t="shared" si="5"/>
        <v>43255001</v>
      </c>
      <c r="G37" s="25">
        <f t="shared" si="5"/>
        <v>49449172</v>
      </c>
      <c r="H37" s="25">
        <f t="shared" si="5"/>
        <v>6194171</v>
      </c>
      <c r="I37" s="25">
        <f t="shared" si="5"/>
        <v>9158371</v>
      </c>
      <c r="J37" s="25">
        <f t="shared" si="5"/>
        <v>40545108</v>
      </c>
      <c r="K37" s="25">
        <f t="shared" si="5"/>
        <v>124361</v>
      </c>
      <c r="L37" s="25">
        <f t="shared" si="5"/>
        <v>0</v>
      </c>
      <c r="M37" s="25">
        <f t="shared" si="5"/>
        <v>8779703</v>
      </c>
      <c r="N37" s="4">
        <f t="shared" si="5"/>
        <v>40669469</v>
      </c>
    </row>
    <row r="38" spans="1:14" x14ac:dyDescent="0.2">
      <c r="D38" s="19"/>
      <c r="E38" s="19"/>
      <c r="I38" s="20"/>
      <c r="J38" s="20"/>
      <c r="K38" s="20"/>
      <c r="M38" s="28"/>
    </row>
    <row r="39" spans="1:14" x14ac:dyDescent="0.2">
      <c r="A39" s="30" t="s">
        <v>12</v>
      </c>
      <c r="B39" s="30"/>
      <c r="C39" s="8">
        <f>C34+C37</f>
        <v>780086723</v>
      </c>
      <c r="D39" s="31"/>
      <c r="E39" s="31"/>
      <c r="F39" s="8">
        <f t="shared" ref="F39:M39" si="6">F34+F37</f>
        <v>11400379159</v>
      </c>
      <c r="G39" s="8">
        <f t="shared" si="6"/>
        <v>11679658421</v>
      </c>
      <c r="H39" s="8">
        <f t="shared" si="6"/>
        <v>279279262</v>
      </c>
      <c r="I39" s="8">
        <f t="shared" si="6"/>
        <v>194130761</v>
      </c>
      <c r="J39" s="32">
        <f t="shared" si="6"/>
        <v>9880704703</v>
      </c>
      <c r="K39" s="32">
        <f t="shared" si="6"/>
        <v>762571875</v>
      </c>
      <c r="L39" s="8">
        <f t="shared" si="6"/>
        <v>52483814</v>
      </c>
      <c r="M39" s="8">
        <f t="shared" si="6"/>
        <v>983898029</v>
      </c>
      <c r="N39" s="4">
        <f>+N34+N37</f>
        <v>10620292436</v>
      </c>
    </row>
    <row r="40" spans="1:14" ht="9.75" customHeight="1" x14ac:dyDescent="0.2">
      <c r="A40" s="33"/>
      <c r="B40" s="33"/>
      <c r="C40" s="79"/>
      <c r="D40" s="80"/>
      <c r="E40" s="80"/>
      <c r="F40" s="80"/>
      <c r="G40" s="80"/>
      <c r="H40" s="80"/>
      <c r="I40" s="80"/>
      <c r="J40" s="80"/>
      <c r="K40" s="80"/>
      <c r="L40" s="80"/>
      <c r="M40" s="80"/>
    </row>
    <row r="41" spans="1:14" ht="26.25" customHeight="1" x14ac:dyDescent="0.2">
      <c r="A41" s="34"/>
      <c r="B41" s="81"/>
      <c r="C41" s="81"/>
      <c r="D41" s="81"/>
      <c r="E41" s="81"/>
      <c r="F41" s="81"/>
      <c r="G41" s="81"/>
      <c r="H41" s="81"/>
      <c r="I41" s="81"/>
      <c r="J41" s="81"/>
      <c r="K41" s="81"/>
      <c r="L41" s="81"/>
      <c r="M41" s="78"/>
    </row>
    <row r="42" spans="1:14" ht="12.75" customHeight="1" x14ac:dyDescent="0.2">
      <c r="A42" s="61"/>
      <c r="B42" s="81" t="s">
        <v>86</v>
      </c>
      <c r="C42" s="81"/>
      <c r="D42" s="81"/>
      <c r="E42" s="81"/>
      <c r="F42" s="81"/>
      <c r="G42" s="81"/>
      <c r="H42" s="81"/>
      <c r="I42" s="81"/>
      <c r="J42" s="81"/>
      <c r="K42" s="81"/>
      <c r="L42" s="81"/>
      <c r="M42" s="82"/>
    </row>
    <row r="43" spans="1:14" ht="12.75" customHeight="1" x14ac:dyDescent="0.2">
      <c r="A43" s="61"/>
      <c r="B43" s="81"/>
      <c r="C43" s="81"/>
      <c r="D43" s="81"/>
      <c r="E43" s="81"/>
      <c r="F43" s="81"/>
      <c r="G43" s="81"/>
      <c r="H43" s="81"/>
      <c r="I43" s="81"/>
      <c r="J43" s="81"/>
      <c r="K43" s="81"/>
      <c r="L43" s="81"/>
      <c r="M43" s="82"/>
    </row>
    <row r="44" spans="1:14" x14ac:dyDescent="0.2">
      <c r="A44" s="61"/>
      <c r="B44" s="61"/>
      <c r="D44" s="19"/>
      <c r="E44" s="19"/>
    </row>
    <row r="45" spans="1:14" x14ac:dyDescent="0.2">
      <c r="A45" s="61"/>
      <c r="B45" s="61"/>
      <c r="D45" s="19"/>
      <c r="E45" s="19"/>
    </row>
    <row r="46" spans="1:14" x14ac:dyDescent="0.2">
      <c r="A46" s="28"/>
      <c r="B46" s="76"/>
      <c r="C46" s="76"/>
      <c r="D46" s="19"/>
      <c r="E46" s="19"/>
    </row>
    <row r="47" spans="1:14" x14ac:dyDescent="0.2">
      <c r="A47" s="1" t="s">
        <v>0</v>
      </c>
      <c r="B47" s="35"/>
      <c r="C47" s="35"/>
      <c r="D47" s="35"/>
      <c r="E47" s="35"/>
      <c r="F47" s="35"/>
      <c r="G47" s="35"/>
      <c r="H47" s="35"/>
      <c r="I47" s="35"/>
      <c r="J47" s="35"/>
      <c r="K47" s="35"/>
    </row>
    <row r="48" spans="1:14" x14ac:dyDescent="0.2">
      <c r="A48" s="37" t="s">
        <v>55</v>
      </c>
      <c r="B48" s="35"/>
      <c r="C48" s="35"/>
      <c r="D48" s="35"/>
      <c r="E48" s="35"/>
      <c r="F48" s="35"/>
      <c r="G48" s="35"/>
      <c r="H48" s="35"/>
      <c r="I48" s="35"/>
      <c r="J48" s="35"/>
      <c r="K48" s="35"/>
    </row>
    <row r="49" spans="1:11" x14ac:dyDescent="0.2">
      <c r="A49" s="38" t="s">
        <v>94</v>
      </c>
      <c r="B49" s="35"/>
      <c r="C49" s="35"/>
      <c r="D49" s="35"/>
      <c r="E49" s="35"/>
      <c r="F49" s="35"/>
      <c r="G49" s="35"/>
      <c r="H49" s="35"/>
      <c r="I49" s="35"/>
      <c r="J49" s="35"/>
      <c r="K49" s="35"/>
    </row>
    <row r="50" spans="1:11" x14ac:dyDescent="0.2">
      <c r="A50" s="35"/>
      <c r="B50" s="35"/>
      <c r="C50" s="35"/>
      <c r="D50" s="35"/>
      <c r="E50" s="35"/>
      <c r="F50" s="35"/>
      <c r="G50" s="35"/>
      <c r="H50" s="35"/>
      <c r="I50" s="35"/>
      <c r="J50" s="35"/>
      <c r="K50" s="35"/>
    </row>
    <row r="51" spans="1:11" x14ac:dyDescent="0.2">
      <c r="A51" s="35" t="s">
        <v>56</v>
      </c>
      <c r="B51" s="35"/>
      <c r="C51" s="35"/>
      <c r="D51" s="35"/>
      <c r="E51" s="35"/>
      <c r="F51" s="35"/>
      <c r="G51" s="35"/>
      <c r="H51" s="35"/>
      <c r="I51" s="35"/>
      <c r="J51" s="35"/>
      <c r="K51" s="35"/>
    </row>
    <row r="52" spans="1:11" x14ac:dyDescent="0.2">
      <c r="A52" s="9" t="s">
        <v>3</v>
      </c>
      <c r="B52" s="39"/>
      <c r="C52" s="39"/>
      <c r="D52" s="24" t="s">
        <v>57</v>
      </c>
      <c r="E52" s="40"/>
      <c r="F52" s="65" t="s">
        <v>58</v>
      </c>
      <c r="G52" s="65" t="s">
        <v>10</v>
      </c>
      <c r="H52" s="66" t="s">
        <v>59</v>
      </c>
      <c r="I52" s="65" t="s">
        <v>58</v>
      </c>
      <c r="J52" s="65" t="s">
        <v>10</v>
      </c>
      <c r="K52" s="66" t="s">
        <v>59</v>
      </c>
    </row>
    <row r="53" spans="1:11" x14ac:dyDescent="0.2">
      <c r="A53" s="43"/>
      <c r="B53" s="43"/>
      <c r="C53" s="43"/>
      <c r="D53" s="13" t="s">
        <v>12</v>
      </c>
      <c r="E53" s="13" t="s">
        <v>13</v>
      </c>
      <c r="F53" s="67" t="s">
        <v>60</v>
      </c>
      <c r="G53" s="67" t="s">
        <v>61</v>
      </c>
      <c r="H53" s="67" t="s">
        <v>62</v>
      </c>
      <c r="I53" s="67" t="s">
        <v>63</v>
      </c>
      <c r="J53" s="67" t="s">
        <v>61</v>
      </c>
      <c r="K53" s="67" t="s">
        <v>62</v>
      </c>
    </row>
    <row r="54" spans="1:11" x14ac:dyDescent="0.2">
      <c r="A54" s="45"/>
      <c r="B54" s="45"/>
      <c r="C54" s="45"/>
      <c r="D54" s="45"/>
      <c r="E54" s="45"/>
      <c r="F54" s="68" t="s">
        <v>64</v>
      </c>
      <c r="G54" s="68" t="s">
        <v>65</v>
      </c>
      <c r="H54" s="68" t="s">
        <v>65</v>
      </c>
      <c r="I54" s="68" t="s">
        <v>4</v>
      </c>
      <c r="J54" s="69" t="s">
        <v>66</v>
      </c>
      <c r="K54" s="69" t="s">
        <v>66</v>
      </c>
    </row>
    <row r="55" spans="1:11" x14ac:dyDescent="0.2">
      <c r="A55" s="43"/>
      <c r="B55" s="43"/>
      <c r="C55" s="43"/>
      <c r="D55" s="48"/>
      <c r="E55" s="48"/>
      <c r="F55" s="49"/>
      <c r="G55" s="49"/>
      <c r="H55" s="49"/>
      <c r="I55" s="49"/>
      <c r="J55" s="18"/>
      <c r="K55" s="18"/>
    </row>
    <row r="56" spans="1:11" x14ac:dyDescent="0.2">
      <c r="A56" s="50" t="s">
        <v>100</v>
      </c>
      <c r="B56" s="43"/>
      <c r="C56" s="43"/>
      <c r="D56" s="70">
        <v>1.04</v>
      </c>
      <c r="E56" s="71">
        <v>4.0000000000000001E-3</v>
      </c>
      <c r="F56" s="54">
        <v>57826740</v>
      </c>
      <c r="G56" s="54">
        <f>56452716+1374024</f>
        <v>57826740</v>
      </c>
      <c r="H56" s="54">
        <f>G56-F56</f>
        <v>0</v>
      </c>
      <c r="I56" s="54">
        <v>55433630</v>
      </c>
      <c r="J56" s="54">
        <v>55629963</v>
      </c>
      <c r="K56" s="54">
        <f>J56-I56</f>
        <v>196333</v>
      </c>
    </row>
    <row r="57" spans="1:11" x14ac:dyDescent="0.2">
      <c r="A57" s="55" t="s">
        <v>101</v>
      </c>
      <c r="B57" s="43"/>
      <c r="C57" s="43"/>
      <c r="D57" s="70">
        <v>0.46</v>
      </c>
      <c r="E57" s="70">
        <v>0.01</v>
      </c>
      <c r="F57" s="54">
        <v>16224735</v>
      </c>
      <c r="G57" s="54">
        <f>421566+9983781+5819388</f>
        <v>16224735</v>
      </c>
      <c r="H57" s="54">
        <f>G57-F57</f>
        <v>0</v>
      </c>
      <c r="I57" s="54">
        <v>36377759</v>
      </c>
      <c r="J57" s="54">
        <v>36776939</v>
      </c>
      <c r="K57" s="54">
        <f>J57-I57</f>
        <v>399180</v>
      </c>
    </row>
    <row r="58" spans="1:11" x14ac:dyDescent="0.2">
      <c r="A58" s="43"/>
      <c r="B58" s="43"/>
      <c r="C58" s="43"/>
      <c r="D58" s="48"/>
      <c r="E58" s="48"/>
      <c r="F58" s="54"/>
      <c r="G58" s="54"/>
      <c r="H58" s="54"/>
      <c r="I58" s="54"/>
      <c r="J58" s="54"/>
      <c r="K58" s="54"/>
    </row>
    <row r="59" spans="1:11" x14ac:dyDescent="0.2">
      <c r="A59" s="35"/>
      <c r="B59" s="35"/>
      <c r="C59" s="35"/>
      <c r="D59" s="57"/>
      <c r="E59" s="57"/>
      <c r="F59" s="58"/>
      <c r="G59" s="58"/>
      <c r="H59" s="58"/>
      <c r="I59" s="58"/>
      <c r="J59" s="58"/>
      <c r="K59" s="58"/>
    </row>
    <row r="60" spans="1:11" x14ac:dyDescent="0.2">
      <c r="A60" s="36" t="s">
        <v>69</v>
      </c>
      <c r="B60" s="35"/>
      <c r="C60" s="35"/>
      <c r="D60" s="57"/>
      <c r="E60" s="57"/>
      <c r="F60" s="58"/>
      <c r="G60" s="58"/>
      <c r="H60" s="58"/>
      <c r="I60" s="58"/>
      <c r="J60" s="58"/>
      <c r="K60" s="58"/>
    </row>
    <row r="61" spans="1:11" x14ac:dyDescent="0.2">
      <c r="A61" s="9" t="s">
        <v>3</v>
      </c>
      <c r="B61" s="39"/>
      <c r="C61" s="39"/>
      <c r="D61" s="24" t="s">
        <v>57</v>
      </c>
      <c r="E61" s="59"/>
      <c r="F61" s="72" t="s">
        <v>88</v>
      </c>
      <c r="G61" s="72" t="s">
        <v>88</v>
      </c>
      <c r="H61" s="62" t="s">
        <v>89</v>
      </c>
      <c r="I61" s="62" t="s">
        <v>70</v>
      </c>
      <c r="J61" s="54"/>
      <c r="K61" s="54"/>
    </row>
    <row r="62" spans="1:11" x14ac:dyDescent="0.2">
      <c r="A62" s="43"/>
      <c r="B62" s="43"/>
      <c r="C62" s="43"/>
      <c r="D62" s="13" t="s">
        <v>12</v>
      </c>
      <c r="E62" s="13" t="s">
        <v>13</v>
      </c>
      <c r="F62" s="18" t="s">
        <v>71</v>
      </c>
      <c r="G62" s="18" t="s">
        <v>71</v>
      </c>
      <c r="H62" s="49" t="s">
        <v>72</v>
      </c>
      <c r="I62" s="49" t="s">
        <v>62</v>
      </c>
      <c r="J62" s="54"/>
      <c r="K62" s="54"/>
    </row>
    <row r="63" spans="1:11" x14ac:dyDescent="0.2">
      <c r="A63" s="43"/>
      <c r="B63" s="43"/>
      <c r="C63" s="43"/>
      <c r="D63" s="48"/>
      <c r="E63" s="48"/>
      <c r="F63" s="18" t="s">
        <v>73</v>
      </c>
      <c r="G63" s="49" t="s">
        <v>74</v>
      </c>
      <c r="H63" s="18" t="s">
        <v>75</v>
      </c>
      <c r="I63" s="49" t="s">
        <v>76</v>
      </c>
      <c r="J63" s="54"/>
      <c r="K63" s="54"/>
    </row>
    <row r="64" spans="1:11" x14ac:dyDescent="0.2">
      <c r="A64" s="45"/>
      <c r="B64" s="45"/>
      <c r="C64" s="45"/>
      <c r="D64" s="60"/>
      <c r="E64" s="60"/>
      <c r="F64" s="73" t="s">
        <v>77</v>
      </c>
      <c r="G64" s="73" t="s">
        <v>78</v>
      </c>
      <c r="H64" s="73" t="s">
        <v>79</v>
      </c>
      <c r="I64" s="73" t="s">
        <v>79</v>
      </c>
      <c r="J64" s="54"/>
      <c r="K64" s="54"/>
    </row>
    <row r="65" spans="1:11" x14ac:dyDescent="0.2">
      <c r="A65" s="43"/>
      <c r="B65" s="43"/>
      <c r="C65" s="35"/>
      <c r="D65" s="57"/>
      <c r="E65" s="57"/>
      <c r="F65" s="58"/>
      <c r="G65" s="58"/>
      <c r="H65" s="58"/>
      <c r="I65" s="58"/>
      <c r="J65" s="58"/>
      <c r="K65" s="58"/>
    </row>
    <row r="66" spans="1:11" x14ac:dyDescent="0.2">
      <c r="A66" s="51" t="s">
        <v>80</v>
      </c>
      <c r="B66" s="43"/>
      <c r="C66" s="43"/>
      <c r="D66" s="70">
        <v>1.7</v>
      </c>
      <c r="E66" s="70">
        <v>0.02</v>
      </c>
      <c r="F66" s="54">
        <v>51675621</v>
      </c>
      <c r="G66" s="54">
        <v>34905305</v>
      </c>
      <c r="H66" s="54">
        <v>87024141</v>
      </c>
      <c r="I66" s="54">
        <f>+H66-G66-F66</f>
        <v>443215</v>
      </c>
      <c r="J66" s="54"/>
      <c r="K66" s="54"/>
    </row>
    <row r="67" spans="1:11" x14ac:dyDescent="0.2">
      <c r="A67" s="35"/>
      <c r="B67" s="35"/>
      <c r="C67" s="35"/>
      <c r="D67" s="57"/>
      <c r="E67" s="57"/>
      <c r="F67" s="58"/>
      <c r="G67" s="58"/>
      <c r="H67" s="58"/>
      <c r="I67" s="58"/>
      <c r="J67" s="58"/>
      <c r="K67" s="58"/>
    </row>
    <row r="68" spans="1:11" x14ac:dyDescent="0.2">
      <c r="A68" s="35"/>
      <c r="B68" s="35"/>
      <c r="C68" s="35"/>
      <c r="D68" s="57"/>
      <c r="E68" s="57"/>
      <c r="F68" s="58"/>
      <c r="G68" s="58"/>
      <c r="H68" s="58"/>
      <c r="I68" s="58"/>
      <c r="J68" s="58"/>
      <c r="K68" s="58"/>
    </row>
    <row r="69" spans="1:11" x14ac:dyDescent="0.2">
      <c r="A69" s="35"/>
      <c r="B69" s="35"/>
      <c r="C69" s="35"/>
      <c r="D69" s="35"/>
      <c r="E69" s="35"/>
      <c r="F69" s="35"/>
      <c r="G69" s="35"/>
      <c r="H69" s="35"/>
      <c r="I69" s="35"/>
      <c r="J69" s="35"/>
      <c r="K69" s="35"/>
    </row>
    <row r="70" spans="1:11" x14ac:dyDescent="0.2">
      <c r="A70" s="74"/>
      <c r="B70" s="74"/>
      <c r="C70" s="74"/>
      <c r="D70" s="74"/>
      <c r="E70" s="74"/>
      <c r="F70" s="74"/>
      <c r="G70" s="74"/>
      <c r="H70" s="74"/>
      <c r="I70" s="74"/>
      <c r="J70" s="74"/>
      <c r="K70" s="74"/>
    </row>
  </sheetData>
  <mergeCells count="9">
    <mergeCell ref="B42:M42"/>
    <mergeCell ref="B43:M43"/>
    <mergeCell ref="B46:C46"/>
    <mergeCell ref="D4:E4"/>
    <mergeCell ref="A8:B8"/>
    <mergeCell ref="A9:B9"/>
    <mergeCell ref="A14:B14"/>
    <mergeCell ref="C40:M40"/>
    <mergeCell ref="B41:M4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Marzo</vt:lpstr>
      <vt:lpstr>Junio</vt:lpstr>
      <vt:lpstr>Septiembre</vt:lpstr>
      <vt:lpstr>Dic</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2013-12-13T15:32:37Z</dcterms:modified>
</cp:coreProperties>
</file>