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rzo" sheetId="1" r:id="rId1"/>
    <sheet name="Jun" sheetId="2" r:id="rId2"/>
    <sheet name="Sept" sheetId="3" r:id="rId3"/>
    <sheet name="Dic" sheetId="4" r:id="rId4"/>
  </sheets>
  <calcPr calcId="145621"/>
</workbook>
</file>

<file path=xl/calcChain.xml><?xml version="1.0" encoding="utf-8"?>
<calcChain xmlns="http://schemas.openxmlformats.org/spreadsheetml/2006/main">
  <c r="I67" i="4" l="1"/>
  <c r="K58" i="4"/>
  <c r="G58" i="4"/>
  <c r="H58" i="4" s="1"/>
  <c r="K57" i="4"/>
  <c r="G57" i="4"/>
  <c r="H57" i="4" s="1"/>
  <c r="M38" i="4"/>
  <c r="L38" i="4"/>
  <c r="J38" i="4"/>
  <c r="I38" i="4"/>
  <c r="F38" i="4"/>
  <c r="C38" i="4"/>
  <c r="K37" i="4"/>
  <c r="G37" i="4" s="1"/>
  <c r="M35" i="4"/>
  <c r="M40" i="4" s="1"/>
  <c r="L35" i="4"/>
  <c r="L40" i="4" s="1"/>
  <c r="J35" i="4"/>
  <c r="J40" i="4" s="1"/>
  <c r="I35" i="4"/>
  <c r="I40" i="4" s="1"/>
  <c r="F35" i="4"/>
  <c r="F40" i="4" s="1"/>
  <c r="C35" i="4"/>
  <c r="C40" i="4" s="1"/>
  <c r="K34" i="4"/>
  <c r="G34" i="4"/>
  <c r="H34" i="4" s="1"/>
  <c r="K33" i="4"/>
  <c r="G33" i="4" s="1"/>
  <c r="H33" i="4" s="1"/>
  <c r="K32" i="4"/>
  <c r="G32" i="4" s="1"/>
  <c r="H32" i="4" s="1"/>
  <c r="K31" i="4"/>
  <c r="H31" i="4"/>
  <c r="G31" i="4"/>
  <c r="K30" i="4"/>
  <c r="G30" i="4"/>
  <c r="H30" i="4" s="1"/>
  <c r="K29" i="4"/>
  <c r="G29" i="4" s="1"/>
  <c r="H29" i="4" s="1"/>
  <c r="K28" i="4"/>
  <c r="G28" i="4" s="1"/>
  <c r="H28" i="4" s="1"/>
  <c r="K27" i="4"/>
  <c r="H27" i="4"/>
  <c r="G27" i="4"/>
  <c r="G26" i="4"/>
  <c r="H26" i="4" s="1"/>
  <c r="K25" i="4"/>
  <c r="G25" i="4" s="1"/>
  <c r="H25" i="4" s="1"/>
  <c r="K24" i="4"/>
  <c r="H24" i="4"/>
  <c r="G24" i="4"/>
  <c r="K23" i="4"/>
  <c r="G23" i="4"/>
  <c r="H23" i="4" s="1"/>
  <c r="K22" i="4"/>
  <c r="G22" i="4" s="1"/>
  <c r="H22" i="4" s="1"/>
  <c r="K21" i="4"/>
  <c r="G21" i="4" s="1"/>
  <c r="H21" i="4" s="1"/>
  <c r="K20" i="4"/>
  <c r="H20" i="4"/>
  <c r="G20" i="4"/>
  <c r="K19" i="4"/>
  <c r="G19" i="4"/>
  <c r="H19" i="4" s="1"/>
  <c r="K18" i="4"/>
  <c r="G18" i="4" s="1"/>
  <c r="H18" i="4" s="1"/>
  <c r="K17" i="4"/>
  <c r="G17" i="4" s="1"/>
  <c r="H17" i="4" s="1"/>
  <c r="K16" i="4"/>
  <c r="H16" i="4"/>
  <c r="G16" i="4"/>
  <c r="K15" i="4"/>
  <c r="G15" i="4"/>
  <c r="H15" i="4" s="1"/>
  <c r="K14" i="4"/>
  <c r="G14" i="4" s="1"/>
  <c r="H14" i="4" s="1"/>
  <c r="K13" i="4"/>
  <c r="G13" i="4" s="1"/>
  <c r="H13" i="4" s="1"/>
  <c r="K12" i="4"/>
  <c r="H12" i="4"/>
  <c r="G12" i="4"/>
  <c r="K11" i="4"/>
  <c r="G11" i="4"/>
  <c r="H11" i="4" s="1"/>
  <c r="K10" i="4"/>
  <c r="G10" i="4" s="1"/>
  <c r="H10" i="4" s="1"/>
  <c r="K9" i="4"/>
  <c r="G9" i="4" s="1"/>
  <c r="I64" i="3"/>
  <c r="K55" i="3"/>
  <c r="H55" i="3"/>
  <c r="G55" i="3"/>
  <c r="K54" i="3"/>
  <c r="G54" i="3"/>
  <c r="H54" i="3" s="1"/>
  <c r="M38" i="3"/>
  <c r="L38" i="3"/>
  <c r="J38" i="3"/>
  <c r="I38" i="3"/>
  <c r="F38" i="3"/>
  <c r="C38" i="3"/>
  <c r="K37" i="3"/>
  <c r="K38" i="3" s="1"/>
  <c r="G37" i="3"/>
  <c r="G38" i="3" s="1"/>
  <c r="M35" i="3"/>
  <c r="M40" i="3" s="1"/>
  <c r="L35" i="3"/>
  <c r="L40" i="3" s="1"/>
  <c r="J35" i="3"/>
  <c r="J40" i="3" s="1"/>
  <c r="I35" i="3"/>
  <c r="I40" i="3" s="1"/>
  <c r="F35" i="3"/>
  <c r="F40" i="3" s="1"/>
  <c r="C35" i="3"/>
  <c r="C40" i="3" s="1"/>
  <c r="G34" i="3"/>
  <c r="H34" i="3" s="1"/>
  <c r="K33" i="3"/>
  <c r="G33" i="3" s="1"/>
  <c r="H33" i="3" s="1"/>
  <c r="K32" i="3"/>
  <c r="H32" i="3"/>
  <c r="G32" i="3"/>
  <c r="K31" i="3"/>
  <c r="G31" i="3"/>
  <c r="H31" i="3" s="1"/>
  <c r="K30" i="3"/>
  <c r="G30" i="3" s="1"/>
  <c r="H30" i="3" s="1"/>
  <c r="K29" i="3"/>
  <c r="G29" i="3" s="1"/>
  <c r="H29" i="3" s="1"/>
  <c r="K28" i="3"/>
  <c r="H28" i="3"/>
  <c r="G28" i="3"/>
  <c r="K27" i="3"/>
  <c r="G27" i="3"/>
  <c r="H27" i="3" s="1"/>
  <c r="K26" i="3"/>
  <c r="G26" i="3" s="1"/>
  <c r="H26" i="3" s="1"/>
  <c r="K25" i="3"/>
  <c r="G25" i="3" s="1"/>
  <c r="H25" i="3" s="1"/>
  <c r="K24" i="3"/>
  <c r="H24" i="3"/>
  <c r="G24" i="3"/>
  <c r="K23" i="3"/>
  <c r="G23" i="3"/>
  <c r="H23" i="3" s="1"/>
  <c r="K22" i="3"/>
  <c r="G22" i="3" s="1"/>
  <c r="H22" i="3" s="1"/>
  <c r="K21" i="3"/>
  <c r="G21" i="3" s="1"/>
  <c r="H21" i="3" s="1"/>
  <c r="K20" i="3"/>
  <c r="H20" i="3"/>
  <c r="G20" i="3"/>
  <c r="K19" i="3"/>
  <c r="G19" i="3"/>
  <c r="H19" i="3" s="1"/>
  <c r="K18" i="3"/>
  <c r="G18" i="3" s="1"/>
  <c r="H18" i="3" s="1"/>
  <c r="K17" i="3"/>
  <c r="G17" i="3" s="1"/>
  <c r="H17" i="3" s="1"/>
  <c r="K16" i="3"/>
  <c r="H16" i="3"/>
  <c r="G16" i="3"/>
  <c r="K15" i="3"/>
  <c r="G15" i="3"/>
  <c r="H15" i="3" s="1"/>
  <c r="K14" i="3"/>
  <c r="G14" i="3" s="1"/>
  <c r="H14" i="3" s="1"/>
  <c r="K13" i="3"/>
  <c r="G13" i="3" s="1"/>
  <c r="H13" i="3" s="1"/>
  <c r="K12" i="3"/>
  <c r="H12" i="3"/>
  <c r="G12" i="3"/>
  <c r="K11" i="3"/>
  <c r="G11" i="3"/>
  <c r="H11" i="3" s="1"/>
  <c r="K10" i="3"/>
  <c r="G10" i="3" s="1"/>
  <c r="H10" i="3" s="1"/>
  <c r="K9" i="3"/>
  <c r="G9" i="3" s="1"/>
  <c r="H9" i="3" s="1"/>
  <c r="K8" i="3"/>
  <c r="K35" i="3" s="1"/>
  <c r="K40" i="3" s="1"/>
  <c r="H8" i="3"/>
  <c r="H35" i="3" s="1"/>
  <c r="G8" i="3"/>
  <c r="I63" i="2"/>
  <c r="K54" i="2"/>
  <c r="G54" i="2"/>
  <c r="H54" i="2" s="1"/>
  <c r="K53" i="2"/>
  <c r="G53" i="2"/>
  <c r="H53" i="2" s="1"/>
  <c r="J40" i="2"/>
  <c r="F40" i="2"/>
  <c r="M38" i="2"/>
  <c r="L38" i="2"/>
  <c r="K38" i="2"/>
  <c r="J38" i="2"/>
  <c r="K37" i="2"/>
  <c r="G37" i="2" s="1"/>
  <c r="M35" i="2"/>
  <c r="M40" i="2" s="1"/>
  <c r="L35" i="2"/>
  <c r="L40" i="2" s="1"/>
  <c r="J35" i="2"/>
  <c r="I35" i="2"/>
  <c r="I40" i="2" s="1"/>
  <c r="F35" i="2"/>
  <c r="C35" i="2"/>
  <c r="C40" i="2" s="1"/>
  <c r="H34" i="2"/>
  <c r="G34" i="2"/>
  <c r="K33" i="2"/>
  <c r="G33" i="2"/>
  <c r="H33" i="2" s="1"/>
  <c r="K32" i="2"/>
  <c r="G32" i="2"/>
  <c r="H32" i="2" s="1"/>
  <c r="K31" i="2"/>
  <c r="G31" i="2" s="1"/>
  <c r="H31" i="2" s="1"/>
  <c r="K30" i="2"/>
  <c r="G30" i="2" s="1"/>
  <c r="H30" i="2" s="1"/>
  <c r="K29" i="2"/>
  <c r="G29" i="2"/>
  <c r="H29" i="2" s="1"/>
  <c r="K28" i="2"/>
  <c r="G28" i="2"/>
  <c r="H28" i="2" s="1"/>
  <c r="K27" i="2"/>
  <c r="G27" i="2" s="1"/>
  <c r="H27" i="2" s="1"/>
  <c r="K26" i="2"/>
  <c r="G26" i="2" s="1"/>
  <c r="H26" i="2" s="1"/>
  <c r="G25" i="2"/>
  <c r="H25" i="2" s="1"/>
  <c r="K24" i="2"/>
  <c r="G24" i="2" s="1"/>
  <c r="H24" i="2" s="1"/>
  <c r="K23" i="2"/>
  <c r="G23" i="2" s="1"/>
  <c r="H23" i="2" s="1"/>
  <c r="K22" i="2"/>
  <c r="G22" i="2"/>
  <c r="H22" i="2" s="1"/>
  <c r="K21" i="2"/>
  <c r="G21" i="2"/>
  <c r="H21" i="2" s="1"/>
  <c r="K20" i="2"/>
  <c r="G20" i="2" s="1"/>
  <c r="H20" i="2" s="1"/>
  <c r="K19" i="2"/>
  <c r="G19" i="2" s="1"/>
  <c r="H19" i="2" s="1"/>
  <c r="K18" i="2"/>
  <c r="G18" i="2"/>
  <c r="H18" i="2" s="1"/>
  <c r="K17" i="2"/>
  <c r="G17" i="2"/>
  <c r="H17" i="2" s="1"/>
  <c r="K16" i="2"/>
  <c r="G16" i="2" s="1"/>
  <c r="H16" i="2" s="1"/>
  <c r="K15" i="2"/>
  <c r="G15" i="2" s="1"/>
  <c r="H15" i="2" s="1"/>
  <c r="K14" i="2"/>
  <c r="G14" i="2"/>
  <c r="H14" i="2" s="1"/>
  <c r="K13" i="2"/>
  <c r="G13" i="2"/>
  <c r="H13" i="2" s="1"/>
  <c r="K12" i="2"/>
  <c r="G12" i="2" s="1"/>
  <c r="H12" i="2" s="1"/>
  <c r="K11" i="2"/>
  <c r="G11" i="2" s="1"/>
  <c r="H11" i="2" s="1"/>
  <c r="K10" i="2"/>
  <c r="G10" i="2"/>
  <c r="H10" i="2" s="1"/>
  <c r="K9" i="2"/>
  <c r="G9" i="2"/>
  <c r="H9" i="2" s="1"/>
  <c r="K8" i="2"/>
  <c r="K35" i="2" s="1"/>
  <c r="K40" i="2" s="1"/>
  <c r="I61" i="1"/>
  <c r="K52" i="1"/>
  <c r="H52" i="1"/>
  <c r="K51" i="1"/>
  <c r="H51" i="1"/>
  <c r="M38" i="1"/>
  <c r="L38" i="1"/>
  <c r="J38" i="1"/>
  <c r="F38" i="1"/>
  <c r="C38" i="1"/>
  <c r="K37" i="1"/>
  <c r="K38" i="1" s="1"/>
  <c r="G37" i="1"/>
  <c r="G38" i="1" s="1"/>
  <c r="M35" i="1"/>
  <c r="M40" i="1" s="1"/>
  <c r="L35" i="1"/>
  <c r="L40" i="1" s="1"/>
  <c r="J35" i="1"/>
  <c r="J40" i="1" s="1"/>
  <c r="I35" i="1"/>
  <c r="I40" i="1" s="1"/>
  <c r="F35" i="1"/>
  <c r="F40" i="1" s="1"/>
  <c r="C35" i="1"/>
  <c r="C40" i="1" s="1"/>
  <c r="G34" i="1"/>
  <c r="H34" i="1" s="1"/>
  <c r="K33" i="1"/>
  <c r="G33" i="1" s="1"/>
  <c r="H33" i="1" s="1"/>
  <c r="K32" i="1"/>
  <c r="G32" i="1" s="1"/>
  <c r="H32" i="1" s="1"/>
  <c r="K31" i="1"/>
  <c r="G31" i="1"/>
  <c r="H31" i="1" s="1"/>
  <c r="K30" i="1"/>
  <c r="G30" i="1" s="1"/>
  <c r="H30" i="1" s="1"/>
  <c r="K29" i="1"/>
  <c r="G29" i="1" s="1"/>
  <c r="H29" i="1" s="1"/>
  <c r="K28" i="1"/>
  <c r="H28" i="1"/>
  <c r="G28" i="1"/>
  <c r="K27" i="1"/>
  <c r="G27" i="1"/>
  <c r="H27" i="1" s="1"/>
  <c r="K26" i="1"/>
  <c r="G26" i="1" s="1"/>
  <c r="H26" i="1" s="1"/>
  <c r="H25" i="1"/>
  <c r="G25" i="1"/>
  <c r="K24" i="1"/>
  <c r="G24" i="1"/>
  <c r="H24" i="1" s="1"/>
  <c r="K23" i="1"/>
  <c r="G23" i="1" s="1"/>
  <c r="H23" i="1" s="1"/>
  <c r="K22" i="1"/>
  <c r="G22" i="1" s="1"/>
  <c r="H22" i="1" s="1"/>
  <c r="K21" i="1"/>
  <c r="H21" i="1"/>
  <c r="G21" i="1"/>
  <c r="K20" i="1"/>
  <c r="G20" i="1"/>
  <c r="H20" i="1" s="1"/>
  <c r="K19" i="1"/>
  <c r="G19" i="1" s="1"/>
  <c r="H19" i="1" s="1"/>
  <c r="K18" i="1"/>
  <c r="G18" i="1" s="1"/>
  <c r="H18" i="1" s="1"/>
  <c r="K17" i="1"/>
  <c r="H17" i="1"/>
  <c r="G17" i="1"/>
  <c r="K16" i="1"/>
  <c r="G16" i="1"/>
  <c r="H16" i="1" s="1"/>
  <c r="K15" i="1"/>
  <c r="G15" i="1" s="1"/>
  <c r="H15" i="1" s="1"/>
  <c r="K14" i="1"/>
  <c r="G14" i="1" s="1"/>
  <c r="H14" i="1" s="1"/>
  <c r="K13" i="1"/>
  <c r="H13" i="1"/>
  <c r="G13" i="1"/>
  <c r="K12" i="1"/>
  <c r="G12" i="1"/>
  <c r="H12" i="1" s="1"/>
  <c r="K11" i="1"/>
  <c r="G11" i="1" s="1"/>
  <c r="H11" i="1" s="1"/>
  <c r="K10" i="1"/>
  <c r="G10" i="1" s="1"/>
  <c r="H10" i="1" s="1"/>
  <c r="K9" i="1"/>
  <c r="H9" i="1"/>
  <c r="G9" i="1"/>
  <c r="K8" i="1"/>
  <c r="K35" i="1" s="1"/>
  <c r="G8" i="1"/>
  <c r="G38" i="4" l="1"/>
  <c r="H37" i="4"/>
  <c r="H38" i="4" s="1"/>
  <c r="H9" i="4"/>
  <c r="H35" i="4" s="1"/>
  <c r="H40" i="4" s="1"/>
  <c r="G35" i="4"/>
  <c r="G40" i="4" s="1"/>
  <c r="K35" i="4"/>
  <c r="K38" i="4"/>
  <c r="G35" i="3"/>
  <c r="G40" i="3" s="1"/>
  <c r="H37" i="3"/>
  <c r="H38" i="3" s="1"/>
  <c r="H40" i="3" s="1"/>
  <c r="H37" i="2"/>
  <c r="H38" i="2" s="1"/>
  <c r="G38" i="2"/>
  <c r="G8" i="2"/>
  <c r="G35" i="1"/>
  <c r="G40" i="1" s="1"/>
  <c r="K40" i="1"/>
  <c r="H8" i="1"/>
  <c r="H35" i="1" s="1"/>
  <c r="H37" i="1"/>
  <c r="H38" i="1" s="1"/>
  <c r="K40" i="4" l="1"/>
  <c r="G35" i="2"/>
  <c r="G40" i="2" s="1"/>
  <c r="H8" i="2"/>
  <c r="H35" i="2" s="1"/>
  <c r="H40" i="2" s="1"/>
  <c r="H40" i="1"/>
</calcChain>
</file>

<file path=xl/sharedStrings.xml><?xml version="1.0" encoding="utf-8"?>
<sst xmlns="http://schemas.openxmlformats.org/spreadsheetml/2006/main" count="436" uniqueCount="90">
  <si>
    <t>SEGUROS DE VIDA</t>
  </si>
  <si>
    <t>(al 31 de marzo de 2004, montos expresados en miles de pesos)</t>
  </si>
  <si>
    <t>SOCIEDAD</t>
  </si>
  <si>
    <t>PATRIMONIO</t>
  </si>
  <si>
    <t>ENDEUDAMIENTO</t>
  </si>
  <si>
    <t>OBLIGACION DE</t>
  </si>
  <si>
    <t>INVER.REPRES.</t>
  </si>
  <si>
    <t>SUPERAV.(DEF) DE</t>
  </si>
  <si>
    <t>INVERSIONES NO</t>
  </si>
  <si>
    <t>INVERSIONES</t>
  </si>
  <si>
    <t>DE RIESGO</t>
  </si>
  <si>
    <t>TOTAL</t>
  </si>
  <si>
    <t>FINANC.</t>
  </si>
  <si>
    <t>INVERTIR LAS RES.</t>
  </si>
  <si>
    <t>DE RES.TEC Y PAT.</t>
  </si>
  <si>
    <t>INV.REPRES.DE RES.</t>
  </si>
  <si>
    <t>REPRESENTATIVAS</t>
  </si>
  <si>
    <t>RES. PREVIS.</t>
  </si>
  <si>
    <t>RES. NO PREVIS.</t>
  </si>
  <si>
    <t>RES. ADIC.</t>
  </si>
  <si>
    <t>PAT. RIESGO</t>
  </si>
  <si>
    <t>TEC. Y PAT.RIESGO</t>
  </si>
  <si>
    <t xml:space="preserve">ABN Amro </t>
  </si>
  <si>
    <t>Altavida</t>
  </si>
  <si>
    <t>Banchile</t>
  </si>
  <si>
    <t>BBVA</t>
  </si>
  <si>
    <t>Bci</t>
  </si>
  <si>
    <t>Bice</t>
  </si>
  <si>
    <t xml:space="preserve">Cardif   </t>
  </si>
  <si>
    <t>Chilena Consolidada</t>
  </si>
  <si>
    <t xml:space="preserve">Cigna   </t>
  </si>
  <si>
    <t>CN Life</t>
  </si>
  <si>
    <t>Consorcio Nacional</t>
  </si>
  <si>
    <t xml:space="preserve">Construcción   </t>
  </si>
  <si>
    <t>Cruz del Sur</t>
  </si>
  <si>
    <t xml:space="preserve">Euroamérica </t>
  </si>
  <si>
    <t xml:space="preserve">Huelén </t>
  </si>
  <si>
    <t xml:space="preserve">ING </t>
  </si>
  <si>
    <t>Interamericana</t>
  </si>
  <si>
    <t>Interrentas</t>
  </si>
  <si>
    <t xml:space="preserve">Mapfre  </t>
  </si>
  <si>
    <t>Metlife</t>
  </si>
  <si>
    <t>Ohio</t>
  </si>
  <si>
    <t>Penta</t>
  </si>
  <si>
    <t>Principal</t>
  </si>
  <si>
    <t>Renta Nacional</t>
  </si>
  <si>
    <t>Security</t>
  </si>
  <si>
    <t xml:space="preserve">Vida Corp  </t>
  </si>
  <si>
    <t>Vitalis</t>
  </si>
  <si>
    <t xml:space="preserve">TOTAL ASEGURADORAS    </t>
  </si>
  <si>
    <t>Caja Reaseguradora</t>
  </si>
  <si>
    <t>TOTAL REASEGURADORAS</t>
  </si>
  <si>
    <t xml:space="preserve"> </t>
  </si>
  <si>
    <t>MUTUALIDADES</t>
  </si>
  <si>
    <t>VENTAS INSTITUCIONALES EXCLUSIVAMENTE</t>
  </si>
  <si>
    <t xml:space="preserve">             ENDEUDAMIENTO</t>
  </si>
  <si>
    <t>OBLIGACION</t>
  </si>
  <si>
    <t>SUPERAVIT (DEF)</t>
  </si>
  <si>
    <t>DE INV.LAS</t>
  </si>
  <si>
    <t>REPRESENT.</t>
  </si>
  <si>
    <t>DE INV.REPRES.</t>
  </si>
  <si>
    <t>DE INV.EL</t>
  </si>
  <si>
    <t>R.TECNICAS</t>
  </si>
  <si>
    <t>DE RES.TEC</t>
  </si>
  <si>
    <t>DE PATRIMONIO</t>
  </si>
  <si>
    <t>Mutualidad de Carabineros</t>
  </si>
  <si>
    <t>Mutualidad del Ejército y Aviación</t>
  </si>
  <si>
    <t>VENTAS INSTITUCIONALES Y NO INSTITUCIONALES SIMULTANEAMENTE</t>
  </si>
  <si>
    <t>SUPERAVIT (DEFICIT)</t>
  </si>
  <si>
    <t xml:space="preserve"> INV.LAS R.TEC.</t>
  </si>
  <si>
    <t>TOTALES</t>
  </si>
  <si>
    <t>Y  PAT.RIESGO</t>
  </si>
  <si>
    <t>Y  PATRIMONIO</t>
  </si>
  <si>
    <t>REPRES.DE R.TECN.</t>
  </si>
  <si>
    <t>DE RES.TECNICAS</t>
  </si>
  <si>
    <t>VENTAS NO INST.</t>
  </si>
  <si>
    <t>VENTAS INST.</t>
  </si>
  <si>
    <t>Y PATRIMONIO</t>
  </si>
  <si>
    <t>Mutual de Seguros</t>
  </si>
  <si>
    <t>(al 30 de junio de 2004, montos expresados en miles de pesos)</t>
  </si>
  <si>
    <t>ABN Amro (1)</t>
  </si>
  <si>
    <t>Interrrentas</t>
  </si>
  <si>
    <t>(1)</t>
  </si>
  <si>
    <t>La compañía presenta sobreendeudamiento financiero, situación originada en abril de 2004.  De acuerdo al plan enviado por esa entidad, para solucionar dicha situación, la junta extraordinaria de accionistas realizó un aumento de capital de $ 3.100.159.997.-, mediante la emisión de 403.353.752 acciones.  Dicho aumento de capital fue aprobado por Resolución Exenta N° 383, de 18.08.2004.</t>
  </si>
  <si>
    <t xml:space="preserve">OBLIGACION DE </t>
  </si>
  <si>
    <t>(al 30 de septiembre de 2004, montos expresados en miles de pesos)</t>
  </si>
  <si>
    <t>Security Previsión</t>
  </si>
  <si>
    <t>CUMPLIMIENTO DE NORMAS</t>
  </si>
  <si>
    <t>(al 31 de diciembre de 2004, montos expresados en miles de pesos)</t>
  </si>
  <si>
    <t xml:space="preserve">INVERSIONES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</si>
</sst>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theme="1"/>
      <name val="Calibri"/>
      <family val="2"/>
      <scheme val="minor"/>
    </font>
    <font>
      <sz val="10"/>
      <name val="MS Sans Serif"/>
      <family val="2"/>
    </font>
    <font>
      <b/>
      <sz val="10"/>
      <name val="MS Sans Serif"/>
      <family val="2"/>
    </font>
    <font>
      <sz val="10"/>
      <name val="MS Sans Serif"/>
    </font>
    <font>
      <sz val="8"/>
      <name val="MS Sans Serif"/>
    </font>
    <font>
      <sz val="8"/>
      <name val="MS Sans Serif"/>
      <family val="2"/>
    </font>
    <font>
      <sz val="10"/>
      <color rgb="FFFF0000"/>
      <name val="MS Sans Serif"/>
      <family val="2"/>
    </font>
    <font>
      <sz val="9"/>
      <name val="MS Sans Serif"/>
      <family val="2"/>
    </font>
    <font>
      <sz val="9"/>
      <name val="MS Sans Serif"/>
    </font>
    <font>
      <sz val="10"/>
      <name val="Times New Roman"/>
    </font>
    <font>
      <b/>
      <sz val="8"/>
      <name val="MS Sans Serif"/>
      <family val="2"/>
    </font>
    <font>
      <b/>
      <sz val="9"/>
      <name val="MS Sans Serif"/>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79">
    <xf numFmtId="0" fontId="0" fillId="0" borderId="0" xfId="0"/>
    <xf numFmtId="3" fontId="1" fillId="0" borderId="0" xfId="0" applyNumberFormat="1" applyFont="1" applyFill="1" applyBorder="1" applyAlignment="1">
      <alignment horizontal="left"/>
    </xf>
    <xf numFmtId="3" fontId="2" fillId="0" borderId="0" xfId="0" applyNumberFormat="1" applyFont="1" applyFill="1" applyBorder="1" applyAlignment="1">
      <alignment horizontal="left"/>
    </xf>
    <xf numFmtId="3" fontId="2" fillId="0" borderId="0" xfId="0" applyNumberFormat="1" applyFont="1" applyFill="1" applyBorder="1" applyAlignment="1">
      <alignment horizontal="right"/>
    </xf>
    <xf numFmtId="3" fontId="2" fillId="0" borderId="0" xfId="0" applyNumberFormat="1" applyFont="1" applyFill="1" applyBorder="1" applyAlignment="1"/>
    <xf numFmtId="3" fontId="3" fillId="0" borderId="0" xfId="0" applyNumberFormat="1" applyFont="1" applyFill="1" applyBorder="1" applyAlignment="1">
      <alignment horizontal="right"/>
    </xf>
    <xf numFmtId="3" fontId="2" fillId="0" borderId="0" xfId="0" quotePrefix="1" applyNumberFormat="1" applyFont="1" applyFill="1" applyBorder="1" applyAlignment="1">
      <alignment horizontal="left"/>
    </xf>
    <xf numFmtId="3" fontId="1" fillId="0" borderId="0" xfId="0" quotePrefix="1" applyNumberFormat="1" applyFont="1" applyFill="1" applyBorder="1" applyAlignment="1">
      <alignment horizontal="left"/>
    </xf>
    <xf numFmtId="3" fontId="3" fillId="0" borderId="1" xfId="0" applyNumberFormat="1" applyFont="1" applyFill="1" applyBorder="1" applyAlignment="1">
      <alignment horizontal="right"/>
    </xf>
    <xf numFmtId="3" fontId="4" fillId="0" borderId="2" xfId="0" applyNumberFormat="1" applyFont="1" applyFill="1" applyBorder="1" applyAlignment="1">
      <alignment horizontal="left"/>
    </xf>
    <xf numFmtId="3" fontId="4" fillId="0" borderId="2" xfId="0" applyNumberFormat="1" applyFont="1" applyFill="1" applyBorder="1" applyAlignment="1">
      <alignment horizontal="right"/>
    </xf>
    <xf numFmtId="3" fontId="4" fillId="0" borderId="2" xfId="0" quotePrefix="1"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center" vertical="center"/>
    </xf>
    <xf numFmtId="3" fontId="5" fillId="0" borderId="0" xfId="0" applyNumberFormat="1" applyFont="1" applyFill="1" applyBorder="1" applyAlignment="1">
      <alignment horizontal="right"/>
    </xf>
    <xf numFmtId="3" fontId="4" fillId="0" borderId="1" xfId="0" quotePrefix="1" applyNumberFormat="1" applyFont="1" applyFill="1" applyBorder="1" applyAlignment="1">
      <alignment horizontal="right"/>
    </xf>
    <xf numFmtId="3" fontId="4" fillId="0" borderId="1" xfId="0" quotePrefix="1" applyNumberFormat="1" applyFont="1" applyFill="1" applyBorder="1" applyAlignment="1">
      <alignment horizontal="center"/>
    </xf>
    <xf numFmtId="3" fontId="4" fillId="0" borderId="1" xfId="0" applyNumberFormat="1" applyFont="1" applyFill="1" applyBorder="1" applyAlignment="1">
      <alignment horizontal="right"/>
    </xf>
    <xf numFmtId="3" fontId="4" fillId="0" borderId="0" xfId="0" quotePrefix="1" applyNumberFormat="1" applyFont="1" applyFill="1" applyBorder="1" applyAlignment="1">
      <alignment horizontal="center"/>
    </xf>
    <xf numFmtId="4" fontId="3" fillId="0" borderId="0" xfId="0" applyNumberFormat="1" applyFont="1" applyFill="1" applyBorder="1" applyAlignment="1">
      <alignment horizontal="right"/>
    </xf>
    <xf numFmtId="3" fontId="1" fillId="0" borderId="0" xfId="0" applyNumberFormat="1" applyFont="1" applyFill="1" applyBorder="1" applyAlignment="1">
      <alignment horizontal="right"/>
    </xf>
    <xf numFmtId="4" fontId="1"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4" fillId="0" borderId="3" xfId="0" quotePrefix="1" applyNumberFormat="1" applyFont="1" applyFill="1" applyBorder="1" applyAlignment="1">
      <alignment horizontal="left"/>
    </xf>
    <xf numFmtId="3" fontId="3" fillId="0" borderId="3" xfId="0" applyNumberFormat="1" applyFont="1" applyFill="1" applyBorder="1" applyAlignment="1">
      <alignment horizontal="right"/>
    </xf>
    <xf numFmtId="4" fontId="3" fillId="0" borderId="3" xfId="0" applyNumberFormat="1" applyFont="1" applyFill="1" applyBorder="1" applyAlignment="1">
      <alignment horizontal="right"/>
    </xf>
    <xf numFmtId="3" fontId="4" fillId="0" borderId="0" xfId="0" applyNumberFormat="1" applyFont="1" applyFill="1" applyBorder="1" applyAlignment="1">
      <alignment horizontal="left"/>
    </xf>
    <xf numFmtId="3" fontId="3" fillId="0" borderId="0" xfId="0" applyNumberFormat="1" applyFont="1" applyFill="1" applyBorder="1" applyAlignment="1">
      <alignment horizontal="left"/>
    </xf>
    <xf numFmtId="3" fontId="1" fillId="0" borderId="1" xfId="0" applyNumberFormat="1" applyFont="1" applyFill="1" applyBorder="1" applyAlignment="1">
      <alignment horizontal="right"/>
    </xf>
    <xf numFmtId="3" fontId="5" fillId="0" borderId="3" xfId="0" applyNumberFormat="1" applyFont="1" applyFill="1" applyBorder="1" applyAlignment="1">
      <alignment horizontal="left"/>
    </xf>
    <xf numFmtId="3" fontId="1" fillId="0" borderId="3" xfId="0" applyNumberFormat="1" applyFont="1" applyFill="1" applyBorder="1" applyAlignment="1">
      <alignment horizontal="right"/>
    </xf>
    <xf numFmtId="3" fontId="3" fillId="0" borderId="1" xfId="0" applyNumberFormat="1" applyFont="1" applyFill="1" applyBorder="1" applyAlignment="1">
      <alignment horizontal="left"/>
    </xf>
    <xf numFmtId="4" fontId="3" fillId="0" borderId="1" xfId="0" applyNumberFormat="1" applyFont="1" applyFill="1" applyBorder="1" applyAlignment="1">
      <alignment horizontal="right"/>
    </xf>
    <xf numFmtId="3" fontId="7" fillId="0" borderId="0" xfId="0" applyNumberFormat="1" applyFont="1" applyFill="1" applyBorder="1" applyAlignment="1">
      <alignment horizontal="left" vertical="top"/>
    </xf>
    <xf numFmtId="3" fontId="7" fillId="0" borderId="2" xfId="0" applyNumberFormat="1" applyFont="1" applyFill="1" applyBorder="1" applyAlignment="1">
      <alignment vertical="top" wrapText="1"/>
    </xf>
    <xf numFmtId="3" fontId="8" fillId="0" borderId="0" xfId="0" applyNumberFormat="1" applyFont="1" applyFill="1" applyBorder="1" applyAlignment="1">
      <alignment vertical="top" wrapText="1"/>
    </xf>
    <xf numFmtId="0" fontId="3" fillId="0" borderId="0" xfId="0" applyFont="1" applyFill="1" applyBorder="1" applyAlignment="1"/>
    <xf numFmtId="3" fontId="3" fillId="0" borderId="0" xfId="0" quotePrefix="1" applyNumberFormat="1" applyFont="1" applyFill="1" applyBorder="1" applyAlignment="1">
      <alignment horizontal="left"/>
    </xf>
    <xf numFmtId="0" fontId="2" fillId="0" borderId="0" xfId="0" quotePrefix="1" applyFont="1" applyFill="1" applyBorder="1" applyAlignment="1">
      <alignment horizontal="left"/>
    </xf>
    <xf numFmtId="0" fontId="3" fillId="0" borderId="0" xfId="0" applyFont="1" applyFill="1" applyBorder="1"/>
    <xf numFmtId="17" fontId="1" fillId="0" borderId="0" xfId="0" quotePrefix="1" applyNumberFormat="1" applyFont="1" applyFill="1" applyBorder="1" applyAlignment="1">
      <alignment horizontal="left"/>
    </xf>
    <xf numFmtId="0" fontId="4" fillId="0" borderId="2" xfId="0" applyFont="1" applyFill="1" applyBorder="1"/>
    <xf numFmtId="0" fontId="4" fillId="0" borderId="3" xfId="0" applyFont="1" applyFill="1" applyBorder="1" applyAlignment="1">
      <alignment horizontal="center"/>
    </xf>
    <xf numFmtId="0" fontId="4" fillId="0" borderId="2" xfId="0" applyFont="1" applyFill="1" applyBorder="1" applyAlignment="1">
      <alignment horizontal="right"/>
    </xf>
    <xf numFmtId="0" fontId="4" fillId="0" borderId="2" xfId="0" quotePrefix="1" applyFont="1" applyFill="1" applyBorder="1" applyAlignment="1">
      <alignment horizontal="right"/>
    </xf>
    <xf numFmtId="0" fontId="4" fillId="0" borderId="0" xfId="0" applyFont="1" applyFill="1" applyBorder="1"/>
    <xf numFmtId="0" fontId="4" fillId="0" borderId="0" xfId="0" applyFont="1" applyFill="1" applyBorder="1" applyAlignment="1">
      <alignment horizontal="right"/>
    </xf>
    <xf numFmtId="0" fontId="4" fillId="0" borderId="1" xfId="0" applyFont="1" applyFill="1" applyBorder="1"/>
    <xf numFmtId="0" fontId="4" fillId="0" borderId="1" xfId="0" applyFont="1" applyFill="1" applyBorder="1" applyAlignment="1">
      <alignment horizontal="right"/>
    </xf>
    <xf numFmtId="0" fontId="4" fillId="0" borderId="1" xfId="0" quotePrefix="1" applyFont="1" applyFill="1" applyBorder="1" applyAlignment="1">
      <alignment horizontal="right"/>
    </xf>
    <xf numFmtId="2" fontId="4" fillId="0" borderId="0" xfId="0" applyNumberFormat="1" applyFont="1" applyFill="1" applyBorder="1"/>
    <xf numFmtId="3" fontId="4" fillId="0" borderId="0" xfId="0" applyNumberFormat="1"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xf numFmtId="2"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3" fontId="4" fillId="0" borderId="0" xfId="0" applyNumberFormat="1" applyFont="1" applyFill="1" applyBorder="1"/>
    <xf numFmtId="0" fontId="1" fillId="0" borderId="0" xfId="0" quotePrefix="1" applyFont="1" applyFill="1" applyBorder="1" applyAlignment="1">
      <alignment horizontal="left"/>
    </xf>
    <xf numFmtId="164" fontId="4" fillId="0" borderId="0" xfId="0" applyNumberFormat="1" applyFont="1" applyFill="1" applyBorder="1"/>
    <xf numFmtId="2" fontId="3" fillId="0" borderId="0" xfId="0" applyNumberFormat="1" applyFont="1" applyFill="1" applyBorder="1"/>
    <xf numFmtId="3" fontId="3" fillId="0" borderId="0" xfId="0" applyNumberFormat="1" applyFont="1" applyFill="1" applyBorder="1"/>
    <xf numFmtId="0" fontId="3" fillId="0" borderId="0" xfId="0" quotePrefix="1" applyFont="1" applyFill="1" applyBorder="1" applyAlignment="1">
      <alignment horizontal="left"/>
    </xf>
    <xf numFmtId="2" fontId="4" fillId="0" borderId="3" xfId="0" applyNumberFormat="1" applyFont="1" applyFill="1" applyBorder="1" applyAlignment="1">
      <alignment horizontal="center"/>
    </xf>
    <xf numFmtId="2" fontId="4" fillId="0" borderId="1" xfId="0" applyNumberFormat="1" applyFont="1" applyFill="1" applyBorder="1"/>
    <xf numFmtId="0" fontId="9" fillId="0" borderId="0" xfId="0" applyFont="1" applyFill="1" applyBorder="1"/>
    <xf numFmtId="3" fontId="5" fillId="0" borderId="0" xfId="0" applyNumberFormat="1" applyFont="1" applyFill="1" applyBorder="1" applyAlignment="1">
      <alignment horizontal="right" vertical="center"/>
    </xf>
    <xf numFmtId="3" fontId="7" fillId="0" borderId="0" xfId="0" quotePrefix="1" applyNumberFormat="1" applyFont="1" applyFill="1" applyBorder="1" applyAlignment="1">
      <alignment horizontal="left" vertical="top"/>
    </xf>
    <xf numFmtId="3" fontId="10" fillId="0" borderId="3" xfId="0" quotePrefix="1" applyNumberFormat="1" applyFont="1" applyFill="1" applyBorder="1" applyAlignment="1">
      <alignment horizontal="left"/>
    </xf>
    <xf numFmtId="3" fontId="10" fillId="0" borderId="3" xfId="0" applyNumberFormat="1" applyFont="1" applyFill="1" applyBorder="1" applyAlignment="1">
      <alignment horizontal="left"/>
    </xf>
    <xf numFmtId="3" fontId="2" fillId="0" borderId="1" xfId="0" applyNumberFormat="1" applyFont="1" applyFill="1" applyBorder="1" applyAlignment="1">
      <alignment horizontal="left"/>
    </xf>
    <xf numFmtId="3" fontId="4" fillId="0" borderId="3" xfId="0" quotePrefix="1" applyNumberFormat="1" applyFont="1" applyFill="1" applyBorder="1" applyAlignment="1">
      <alignment horizontal="center"/>
    </xf>
    <xf numFmtId="3" fontId="3" fillId="0" borderId="0" xfId="0" applyNumberFormat="1" applyFont="1" applyFill="1" applyBorder="1" applyAlignment="1">
      <alignment horizontal="left"/>
    </xf>
    <xf numFmtId="3" fontId="1" fillId="0" borderId="0" xfId="0" quotePrefix="1" applyNumberFormat="1" applyFont="1" applyFill="1" applyBorder="1" applyAlignment="1">
      <alignment horizontal="left"/>
    </xf>
    <xf numFmtId="0" fontId="3" fillId="0" borderId="0" xfId="0" applyFont="1" applyFill="1" applyBorder="1" applyAlignment="1">
      <alignment horizontal="left"/>
    </xf>
    <xf numFmtId="3" fontId="8" fillId="0" borderId="0" xfId="0" applyNumberFormat="1" applyFont="1" applyFill="1" applyBorder="1" applyAlignment="1">
      <alignment horizontal="left" vertical="top" wrapText="1"/>
    </xf>
    <xf numFmtId="0" fontId="3" fillId="0" borderId="0" xfId="0" applyFont="1" applyFill="1" applyBorder="1" applyAlignment="1"/>
    <xf numFmtId="3" fontId="8" fillId="0" borderId="0" xfId="0" applyNumberFormat="1" applyFont="1" applyFill="1" applyBorder="1" applyAlignment="1">
      <alignment horizontal="justify" vertical="top" wrapText="1"/>
    </xf>
    <xf numFmtId="3" fontId="11" fillId="0" borderId="0" xfId="0" applyNumberFormat="1" applyFont="1" applyFill="1" applyBorder="1" applyAlignment="1">
      <alignment horizontal="justify"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workbookViewId="0"/>
  </sheetViews>
  <sheetFormatPr baseColWidth="10" defaultRowHeight="12.75" x14ac:dyDescent="0.2"/>
  <cols>
    <col min="1" max="1" width="2.5703125" style="5" customWidth="1"/>
    <col min="2" max="2" width="22.42578125" style="5" customWidth="1"/>
    <col min="3" max="3" width="12.140625" style="5" bestFit="1" customWidth="1"/>
    <col min="4" max="4" width="8.140625" style="5" customWidth="1"/>
    <col min="5" max="5" width="8.5703125" style="5" customWidth="1"/>
    <col min="6" max="6" width="17" style="5" bestFit="1" customWidth="1"/>
    <col min="7" max="7" width="16.7109375" style="5" bestFit="1" customWidth="1"/>
    <col min="8" max="8" width="18" style="5" bestFit="1" customWidth="1"/>
    <col min="9" max="9" width="17.7109375" style="5" bestFit="1" customWidth="1"/>
    <col min="10" max="10" width="13.5703125" style="5" customWidth="1"/>
    <col min="11" max="11" width="18.5703125" style="5" bestFit="1" customWidth="1"/>
    <col min="12" max="13" width="12.28515625" style="5" bestFit="1" customWidth="1"/>
    <col min="14" max="256" width="11.42578125" style="5"/>
    <col min="257" max="257" width="2.5703125" style="5" customWidth="1"/>
    <col min="258" max="258" width="22.42578125" style="5" customWidth="1"/>
    <col min="259" max="259" width="12.140625" style="5" bestFit="1" customWidth="1"/>
    <col min="260" max="260" width="8.140625" style="5" customWidth="1"/>
    <col min="261" max="261" width="8.5703125" style="5" customWidth="1"/>
    <col min="262" max="262" width="17" style="5" bestFit="1" customWidth="1"/>
    <col min="263" max="263" width="16.7109375" style="5" bestFit="1" customWidth="1"/>
    <col min="264" max="264" width="18" style="5" bestFit="1" customWidth="1"/>
    <col min="265" max="265" width="17.7109375" style="5" bestFit="1" customWidth="1"/>
    <col min="266" max="266" width="13.5703125" style="5" customWidth="1"/>
    <col min="267" max="267" width="18.5703125" style="5" bestFit="1" customWidth="1"/>
    <col min="268" max="269" width="12.28515625" style="5" bestFit="1" customWidth="1"/>
    <col min="270" max="512" width="11.42578125" style="5"/>
    <col min="513" max="513" width="2.5703125" style="5" customWidth="1"/>
    <col min="514" max="514" width="22.42578125" style="5" customWidth="1"/>
    <col min="515" max="515" width="12.140625" style="5" bestFit="1" customWidth="1"/>
    <col min="516" max="516" width="8.140625" style="5" customWidth="1"/>
    <col min="517" max="517" width="8.5703125" style="5" customWidth="1"/>
    <col min="518" max="518" width="17" style="5" bestFit="1" customWidth="1"/>
    <col min="519" max="519" width="16.7109375" style="5" bestFit="1" customWidth="1"/>
    <col min="520" max="520" width="18" style="5" bestFit="1" customWidth="1"/>
    <col min="521" max="521" width="17.7109375" style="5" bestFit="1" customWidth="1"/>
    <col min="522" max="522" width="13.5703125" style="5" customWidth="1"/>
    <col min="523" max="523" width="18.5703125" style="5" bestFit="1" customWidth="1"/>
    <col min="524" max="525" width="12.28515625" style="5" bestFit="1" customWidth="1"/>
    <col min="526" max="768" width="11.42578125" style="5"/>
    <col min="769" max="769" width="2.5703125" style="5" customWidth="1"/>
    <col min="770" max="770" width="22.42578125" style="5" customWidth="1"/>
    <col min="771" max="771" width="12.140625" style="5" bestFit="1" customWidth="1"/>
    <col min="772" max="772" width="8.140625" style="5" customWidth="1"/>
    <col min="773" max="773" width="8.5703125" style="5" customWidth="1"/>
    <col min="774" max="774" width="17" style="5" bestFit="1" customWidth="1"/>
    <col min="775" max="775" width="16.7109375" style="5" bestFit="1" customWidth="1"/>
    <col min="776" max="776" width="18" style="5" bestFit="1" customWidth="1"/>
    <col min="777" max="777" width="17.7109375" style="5" bestFit="1" customWidth="1"/>
    <col min="778" max="778" width="13.5703125" style="5" customWidth="1"/>
    <col min="779" max="779" width="18.5703125" style="5" bestFit="1" customWidth="1"/>
    <col min="780" max="781" width="12.28515625" style="5" bestFit="1" customWidth="1"/>
    <col min="782" max="1024" width="11.42578125" style="5"/>
    <col min="1025" max="1025" width="2.5703125" style="5" customWidth="1"/>
    <col min="1026" max="1026" width="22.42578125" style="5" customWidth="1"/>
    <col min="1027" max="1027" width="12.140625" style="5" bestFit="1" customWidth="1"/>
    <col min="1028" max="1028" width="8.140625" style="5" customWidth="1"/>
    <col min="1029" max="1029" width="8.5703125" style="5" customWidth="1"/>
    <col min="1030" max="1030" width="17" style="5" bestFit="1" customWidth="1"/>
    <col min="1031" max="1031" width="16.7109375" style="5" bestFit="1" customWidth="1"/>
    <col min="1032" max="1032" width="18" style="5" bestFit="1" customWidth="1"/>
    <col min="1033" max="1033" width="17.7109375" style="5" bestFit="1" customWidth="1"/>
    <col min="1034" max="1034" width="13.5703125" style="5" customWidth="1"/>
    <col min="1035" max="1035" width="18.5703125" style="5" bestFit="1" customWidth="1"/>
    <col min="1036" max="1037" width="12.28515625" style="5" bestFit="1" customWidth="1"/>
    <col min="1038" max="1280" width="11.42578125" style="5"/>
    <col min="1281" max="1281" width="2.5703125" style="5" customWidth="1"/>
    <col min="1282" max="1282" width="22.42578125" style="5" customWidth="1"/>
    <col min="1283" max="1283" width="12.140625" style="5" bestFit="1" customWidth="1"/>
    <col min="1284" max="1284" width="8.140625" style="5" customWidth="1"/>
    <col min="1285" max="1285" width="8.5703125" style="5" customWidth="1"/>
    <col min="1286" max="1286" width="17" style="5" bestFit="1" customWidth="1"/>
    <col min="1287" max="1287" width="16.7109375" style="5" bestFit="1" customWidth="1"/>
    <col min="1288" max="1288" width="18" style="5" bestFit="1" customWidth="1"/>
    <col min="1289" max="1289" width="17.7109375" style="5" bestFit="1" customWidth="1"/>
    <col min="1290" max="1290" width="13.5703125" style="5" customWidth="1"/>
    <col min="1291" max="1291" width="18.5703125" style="5" bestFit="1" customWidth="1"/>
    <col min="1292" max="1293" width="12.28515625" style="5" bestFit="1" customWidth="1"/>
    <col min="1294" max="1536" width="11.42578125" style="5"/>
    <col min="1537" max="1537" width="2.5703125" style="5" customWidth="1"/>
    <col min="1538" max="1538" width="22.42578125" style="5" customWidth="1"/>
    <col min="1539" max="1539" width="12.140625" style="5" bestFit="1" customWidth="1"/>
    <col min="1540" max="1540" width="8.140625" style="5" customWidth="1"/>
    <col min="1541" max="1541" width="8.5703125" style="5" customWidth="1"/>
    <col min="1542" max="1542" width="17" style="5" bestFit="1" customWidth="1"/>
    <col min="1543" max="1543" width="16.7109375" style="5" bestFit="1" customWidth="1"/>
    <col min="1544" max="1544" width="18" style="5" bestFit="1" customWidth="1"/>
    <col min="1545" max="1545" width="17.7109375" style="5" bestFit="1" customWidth="1"/>
    <col min="1546" max="1546" width="13.5703125" style="5" customWidth="1"/>
    <col min="1547" max="1547" width="18.5703125" style="5" bestFit="1" customWidth="1"/>
    <col min="1548" max="1549" width="12.28515625" style="5" bestFit="1" customWidth="1"/>
    <col min="1550" max="1792" width="11.42578125" style="5"/>
    <col min="1793" max="1793" width="2.5703125" style="5" customWidth="1"/>
    <col min="1794" max="1794" width="22.42578125" style="5" customWidth="1"/>
    <col min="1795" max="1795" width="12.140625" style="5" bestFit="1" customWidth="1"/>
    <col min="1796" max="1796" width="8.140625" style="5" customWidth="1"/>
    <col min="1797" max="1797" width="8.5703125" style="5" customWidth="1"/>
    <col min="1798" max="1798" width="17" style="5" bestFit="1" customWidth="1"/>
    <col min="1799" max="1799" width="16.7109375" style="5" bestFit="1" customWidth="1"/>
    <col min="1800" max="1800" width="18" style="5" bestFit="1" customWidth="1"/>
    <col min="1801" max="1801" width="17.7109375" style="5" bestFit="1" customWidth="1"/>
    <col min="1802" max="1802" width="13.5703125" style="5" customWidth="1"/>
    <col min="1803" max="1803" width="18.5703125" style="5" bestFit="1" customWidth="1"/>
    <col min="1804" max="1805" width="12.28515625" style="5" bestFit="1" customWidth="1"/>
    <col min="1806" max="2048" width="11.42578125" style="5"/>
    <col min="2049" max="2049" width="2.5703125" style="5" customWidth="1"/>
    <col min="2050" max="2050" width="22.42578125" style="5" customWidth="1"/>
    <col min="2051" max="2051" width="12.140625" style="5" bestFit="1" customWidth="1"/>
    <col min="2052" max="2052" width="8.140625" style="5" customWidth="1"/>
    <col min="2053" max="2053" width="8.5703125" style="5" customWidth="1"/>
    <col min="2054" max="2054" width="17" style="5" bestFit="1" customWidth="1"/>
    <col min="2055" max="2055" width="16.7109375" style="5" bestFit="1" customWidth="1"/>
    <col min="2056" max="2056" width="18" style="5" bestFit="1" customWidth="1"/>
    <col min="2057" max="2057" width="17.7109375" style="5" bestFit="1" customWidth="1"/>
    <col min="2058" max="2058" width="13.5703125" style="5" customWidth="1"/>
    <col min="2059" max="2059" width="18.5703125" style="5" bestFit="1" customWidth="1"/>
    <col min="2060" max="2061" width="12.28515625" style="5" bestFit="1" customWidth="1"/>
    <col min="2062" max="2304" width="11.42578125" style="5"/>
    <col min="2305" max="2305" width="2.5703125" style="5" customWidth="1"/>
    <col min="2306" max="2306" width="22.42578125" style="5" customWidth="1"/>
    <col min="2307" max="2307" width="12.140625" style="5" bestFit="1" customWidth="1"/>
    <col min="2308" max="2308" width="8.140625" style="5" customWidth="1"/>
    <col min="2309" max="2309" width="8.5703125" style="5" customWidth="1"/>
    <col min="2310" max="2310" width="17" style="5" bestFit="1" customWidth="1"/>
    <col min="2311" max="2311" width="16.7109375" style="5" bestFit="1" customWidth="1"/>
    <col min="2312" max="2312" width="18" style="5" bestFit="1" customWidth="1"/>
    <col min="2313" max="2313" width="17.7109375" style="5" bestFit="1" customWidth="1"/>
    <col min="2314" max="2314" width="13.5703125" style="5" customWidth="1"/>
    <col min="2315" max="2315" width="18.5703125" style="5" bestFit="1" customWidth="1"/>
    <col min="2316" max="2317" width="12.28515625" style="5" bestFit="1" customWidth="1"/>
    <col min="2318" max="2560" width="11.42578125" style="5"/>
    <col min="2561" max="2561" width="2.5703125" style="5" customWidth="1"/>
    <col min="2562" max="2562" width="22.42578125" style="5" customWidth="1"/>
    <col min="2563" max="2563" width="12.140625" style="5" bestFit="1" customWidth="1"/>
    <col min="2564" max="2564" width="8.140625" style="5" customWidth="1"/>
    <col min="2565" max="2565" width="8.5703125" style="5" customWidth="1"/>
    <col min="2566" max="2566" width="17" style="5" bestFit="1" customWidth="1"/>
    <col min="2567" max="2567" width="16.7109375" style="5" bestFit="1" customWidth="1"/>
    <col min="2568" max="2568" width="18" style="5" bestFit="1" customWidth="1"/>
    <col min="2569" max="2569" width="17.7109375" style="5" bestFit="1" customWidth="1"/>
    <col min="2570" max="2570" width="13.5703125" style="5" customWidth="1"/>
    <col min="2571" max="2571" width="18.5703125" style="5" bestFit="1" customWidth="1"/>
    <col min="2572" max="2573" width="12.28515625" style="5" bestFit="1" customWidth="1"/>
    <col min="2574" max="2816" width="11.42578125" style="5"/>
    <col min="2817" max="2817" width="2.5703125" style="5" customWidth="1"/>
    <col min="2818" max="2818" width="22.42578125" style="5" customWidth="1"/>
    <col min="2819" max="2819" width="12.140625" style="5" bestFit="1" customWidth="1"/>
    <col min="2820" max="2820" width="8.140625" style="5" customWidth="1"/>
    <col min="2821" max="2821" width="8.5703125" style="5" customWidth="1"/>
    <col min="2822" max="2822" width="17" style="5" bestFit="1" customWidth="1"/>
    <col min="2823" max="2823" width="16.7109375" style="5" bestFit="1" customWidth="1"/>
    <col min="2824" max="2824" width="18" style="5" bestFit="1" customWidth="1"/>
    <col min="2825" max="2825" width="17.7109375" style="5" bestFit="1" customWidth="1"/>
    <col min="2826" max="2826" width="13.5703125" style="5" customWidth="1"/>
    <col min="2827" max="2827" width="18.5703125" style="5" bestFit="1" customWidth="1"/>
    <col min="2828" max="2829" width="12.28515625" style="5" bestFit="1" customWidth="1"/>
    <col min="2830" max="3072" width="11.42578125" style="5"/>
    <col min="3073" max="3073" width="2.5703125" style="5" customWidth="1"/>
    <col min="3074" max="3074" width="22.42578125" style="5" customWidth="1"/>
    <col min="3075" max="3075" width="12.140625" style="5" bestFit="1" customWidth="1"/>
    <col min="3076" max="3076" width="8.140625" style="5" customWidth="1"/>
    <col min="3077" max="3077" width="8.5703125" style="5" customWidth="1"/>
    <col min="3078" max="3078" width="17" style="5" bestFit="1" customWidth="1"/>
    <col min="3079" max="3079" width="16.7109375" style="5" bestFit="1" customWidth="1"/>
    <col min="3080" max="3080" width="18" style="5" bestFit="1" customWidth="1"/>
    <col min="3081" max="3081" width="17.7109375" style="5" bestFit="1" customWidth="1"/>
    <col min="3082" max="3082" width="13.5703125" style="5" customWidth="1"/>
    <col min="3083" max="3083" width="18.5703125" style="5" bestFit="1" customWidth="1"/>
    <col min="3084" max="3085" width="12.28515625" style="5" bestFit="1" customWidth="1"/>
    <col min="3086" max="3328" width="11.42578125" style="5"/>
    <col min="3329" max="3329" width="2.5703125" style="5" customWidth="1"/>
    <col min="3330" max="3330" width="22.42578125" style="5" customWidth="1"/>
    <col min="3331" max="3331" width="12.140625" style="5" bestFit="1" customWidth="1"/>
    <col min="3332" max="3332" width="8.140625" style="5" customWidth="1"/>
    <col min="3333" max="3333" width="8.5703125" style="5" customWidth="1"/>
    <col min="3334" max="3334" width="17" style="5" bestFit="1" customWidth="1"/>
    <col min="3335" max="3335" width="16.7109375" style="5" bestFit="1" customWidth="1"/>
    <col min="3336" max="3336" width="18" style="5" bestFit="1" customWidth="1"/>
    <col min="3337" max="3337" width="17.7109375" style="5" bestFit="1" customWidth="1"/>
    <col min="3338" max="3338" width="13.5703125" style="5" customWidth="1"/>
    <col min="3339" max="3339" width="18.5703125" style="5" bestFit="1" customWidth="1"/>
    <col min="3340" max="3341" width="12.28515625" style="5" bestFit="1" customWidth="1"/>
    <col min="3342" max="3584" width="11.42578125" style="5"/>
    <col min="3585" max="3585" width="2.5703125" style="5" customWidth="1"/>
    <col min="3586" max="3586" width="22.42578125" style="5" customWidth="1"/>
    <col min="3587" max="3587" width="12.140625" style="5" bestFit="1" customWidth="1"/>
    <col min="3588" max="3588" width="8.140625" style="5" customWidth="1"/>
    <col min="3589" max="3589" width="8.5703125" style="5" customWidth="1"/>
    <col min="3590" max="3590" width="17" style="5" bestFit="1" customWidth="1"/>
    <col min="3591" max="3591" width="16.7109375" style="5" bestFit="1" customWidth="1"/>
    <col min="3592" max="3592" width="18" style="5" bestFit="1" customWidth="1"/>
    <col min="3593" max="3593" width="17.7109375" style="5" bestFit="1" customWidth="1"/>
    <col min="3594" max="3594" width="13.5703125" style="5" customWidth="1"/>
    <col min="3595" max="3595" width="18.5703125" style="5" bestFit="1" customWidth="1"/>
    <col min="3596" max="3597" width="12.28515625" style="5" bestFit="1" customWidth="1"/>
    <col min="3598" max="3840" width="11.42578125" style="5"/>
    <col min="3841" max="3841" width="2.5703125" style="5" customWidth="1"/>
    <col min="3842" max="3842" width="22.42578125" style="5" customWidth="1"/>
    <col min="3843" max="3843" width="12.140625" style="5" bestFit="1" customWidth="1"/>
    <col min="3844" max="3844" width="8.140625" style="5" customWidth="1"/>
    <col min="3845" max="3845" width="8.5703125" style="5" customWidth="1"/>
    <col min="3846" max="3846" width="17" style="5" bestFit="1" customWidth="1"/>
    <col min="3847" max="3847" width="16.7109375" style="5" bestFit="1" customWidth="1"/>
    <col min="3848" max="3848" width="18" style="5" bestFit="1" customWidth="1"/>
    <col min="3849" max="3849" width="17.7109375" style="5" bestFit="1" customWidth="1"/>
    <col min="3850" max="3850" width="13.5703125" style="5" customWidth="1"/>
    <col min="3851" max="3851" width="18.5703125" style="5" bestFit="1" customWidth="1"/>
    <col min="3852" max="3853" width="12.28515625" style="5" bestFit="1" customWidth="1"/>
    <col min="3854" max="4096" width="11.42578125" style="5"/>
    <col min="4097" max="4097" width="2.5703125" style="5" customWidth="1"/>
    <col min="4098" max="4098" width="22.42578125" style="5" customWidth="1"/>
    <col min="4099" max="4099" width="12.140625" style="5" bestFit="1" customWidth="1"/>
    <col min="4100" max="4100" width="8.140625" style="5" customWidth="1"/>
    <col min="4101" max="4101" width="8.5703125" style="5" customWidth="1"/>
    <col min="4102" max="4102" width="17" style="5" bestFit="1" customWidth="1"/>
    <col min="4103" max="4103" width="16.7109375" style="5" bestFit="1" customWidth="1"/>
    <col min="4104" max="4104" width="18" style="5" bestFit="1" customWidth="1"/>
    <col min="4105" max="4105" width="17.7109375" style="5" bestFit="1" customWidth="1"/>
    <col min="4106" max="4106" width="13.5703125" style="5" customWidth="1"/>
    <col min="4107" max="4107" width="18.5703125" style="5" bestFit="1" customWidth="1"/>
    <col min="4108" max="4109" width="12.28515625" style="5" bestFit="1" customWidth="1"/>
    <col min="4110" max="4352" width="11.42578125" style="5"/>
    <col min="4353" max="4353" width="2.5703125" style="5" customWidth="1"/>
    <col min="4354" max="4354" width="22.42578125" style="5" customWidth="1"/>
    <col min="4355" max="4355" width="12.140625" style="5" bestFit="1" customWidth="1"/>
    <col min="4356" max="4356" width="8.140625" style="5" customWidth="1"/>
    <col min="4357" max="4357" width="8.5703125" style="5" customWidth="1"/>
    <col min="4358" max="4358" width="17" style="5" bestFit="1" customWidth="1"/>
    <col min="4359" max="4359" width="16.7109375" style="5" bestFit="1" customWidth="1"/>
    <col min="4360" max="4360" width="18" style="5" bestFit="1" customWidth="1"/>
    <col min="4361" max="4361" width="17.7109375" style="5" bestFit="1" customWidth="1"/>
    <col min="4362" max="4362" width="13.5703125" style="5" customWidth="1"/>
    <col min="4363" max="4363" width="18.5703125" style="5" bestFit="1" customWidth="1"/>
    <col min="4364" max="4365" width="12.28515625" style="5" bestFit="1" customWidth="1"/>
    <col min="4366" max="4608" width="11.42578125" style="5"/>
    <col min="4609" max="4609" width="2.5703125" style="5" customWidth="1"/>
    <col min="4610" max="4610" width="22.42578125" style="5" customWidth="1"/>
    <col min="4611" max="4611" width="12.140625" style="5" bestFit="1" customWidth="1"/>
    <col min="4612" max="4612" width="8.140625" style="5" customWidth="1"/>
    <col min="4613" max="4613" width="8.5703125" style="5" customWidth="1"/>
    <col min="4614" max="4614" width="17" style="5" bestFit="1" customWidth="1"/>
    <col min="4615" max="4615" width="16.7109375" style="5" bestFit="1" customWidth="1"/>
    <col min="4616" max="4616" width="18" style="5" bestFit="1" customWidth="1"/>
    <col min="4617" max="4617" width="17.7109375" style="5" bestFit="1" customWidth="1"/>
    <col min="4618" max="4618" width="13.5703125" style="5" customWidth="1"/>
    <col min="4619" max="4619" width="18.5703125" style="5" bestFit="1" customWidth="1"/>
    <col min="4620" max="4621" width="12.28515625" style="5" bestFit="1" customWidth="1"/>
    <col min="4622" max="4864" width="11.42578125" style="5"/>
    <col min="4865" max="4865" width="2.5703125" style="5" customWidth="1"/>
    <col min="4866" max="4866" width="22.42578125" style="5" customWidth="1"/>
    <col min="4867" max="4867" width="12.140625" style="5" bestFit="1" customWidth="1"/>
    <col min="4868" max="4868" width="8.140625" style="5" customWidth="1"/>
    <col min="4869" max="4869" width="8.5703125" style="5" customWidth="1"/>
    <col min="4870" max="4870" width="17" style="5" bestFit="1" customWidth="1"/>
    <col min="4871" max="4871" width="16.7109375" style="5" bestFit="1" customWidth="1"/>
    <col min="4872" max="4872" width="18" style="5" bestFit="1" customWidth="1"/>
    <col min="4873" max="4873" width="17.7109375" style="5" bestFit="1" customWidth="1"/>
    <col min="4874" max="4874" width="13.5703125" style="5" customWidth="1"/>
    <col min="4875" max="4875" width="18.5703125" style="5" bestFit="1" customWidth="1"/>
    <col min="4876" max="4877" width="12.28515625" style="5" bestFit="1" customWidth="1"/>
    <col min="4878" max="5120" width="11.42578125" style="5"/>
    <col min="5121" max="5121" width="2.5703125" style="5" customWidth="1"/>
    <col min="5122" max="5122" width="22.42578125" style="5" customWidth="1"/>
    <col min="5123" max="5123" width="12.140625" style="5" bestFit="1" customWidth="1"/>
    <col min="5124" max="5124" width="8.140625" style="5" customWidth="1"/>
    <col min="5125" max="5125" width="8.5703125" style="5" customWidth="1"/>
    <col min="5126" max="5126" width="17" style="5" bestFit="1" customWidth="1"/>
    <col min="5127" max="5127" width="16.7109375" style="5" bestFit="1" customWidth="1"/>
    <col min="5128" max="5128" width="18" style="5" bestFit="1" customWidth="1"/>
    <col min="5129" max="5129" width="17.7109375" style="5" bestFit="1" customWidth="1"/>
    <col min="5130" max="5130" width="13.5703125" style="5" customWidth="1"/>
    <col min="5131" max="5131" width="18.5703125" style="5" bestFit="1" customWidth="1"/>
    <col min="5132" max="5133" width="12.28515625" style="5" bestFit="1" customWidth="1"/>
    <col min="5134" max="5376" width="11.42578125" style="5"/>
    <col min="5377" max="5377" width="2.5703125" style="5" customWidth="1"/>
    <col min="5378" max="5378" width="22.42578125" style="5" customWidth="1"/>
    <col min="5379" max="5379" width="12.140625" style="5" bestFit="1" customWidth="1"/>
    <col min="5380" max="5380" width="8.140625" style="5" customWidth="1"/>
    <col min="5381" max="5381" width="8.5703125" style="5" customWidth="1"/>
    <col min="5382" max="5382" width="17" style="5" bestFit="1" customWidth="1"/>
    <col min="5383" max="5383" width="16.7109375" style="5" bestFit="1" customWidth="1"/>
    <col min="5384" max="5384" width="18" style="5" bestFit="1" customWidth="1"/>
    <col min="5385" max="5385" width="17.7109375" style="5" bestFit="1" customWidth="1"/>
    <col min="5386" max="5386" width="13.5703125" style="5" customWidth="1"/>
    <col min="5387" max="5387" width="18.5703125" style="5" bestFit="1" customWidth="1"/>
    <col min="5388" max="5389" width="12.28515625" style="5" bestFit="1" customWidth="1"/>
    <col min="5390" max="5632" width="11.42578125" style="5"/>
    <col min="5633" max="5633" width="2.5703125" style="5" customWidth="1"/>
    <col min="5634" max="5634" width="22.42578125" style="5" customWidth="1"/>
    <col min="5635" max="5635" width="12.140625" style="5" bestFit="1" customWidth="1"/>
    <col min="5636" max="5636" width="8.140625" style="5" customWidth="1"/>
    <col min="5637" max="5637" width="8.5703125" style="5" customWidth="1"/>
    <col min="5638" max="5638" width="17" style="5" bestFit="1" customWidth="1"/>
    <col min="5639" max="5639" width="16.7109375" style="5" bestFit="1" customWidth="1"/>
    <col min="5640" max="5640" width="18" style="5" bestFit="1" customWidth="1"/>
    <col min="5641" max="5641" width="17.7109375" style="5" bestFit="1" customWidth="1"/>
    <col min="5642" max="5642" width="13.5703125" style="5" customWidth="1"/>
    <col min="5643" max="5643" width="18.5703125" style="5" bestFit="1" customWidth="1"/>
    <col min="5644" max="5645" width="12.28515625" style="5" bestFit="1" customWidth="1"/>
    <col min="5646" max="5888" width="11.42578125" style="5"/>
    <col min="5889" max="5889" width="2.5703125" style="5" customWidth="1"/>
    <col min="5890" max="5890" width="22.42578125" style="5" customWidth="1"/>
    <col min="5891" max="5891" width="12.140625" style="5" bestFit="1" customWidth="1"/>
    <col min="5892" max="5892" width="8.140625" style="5" customWidth="1"/>
    <col min="5893" max="5893" width="8.5703125" style="5" customWidth="1"/>
    <col min="5894" max="5894" width="17" style="5" bestFit="1" customWidth="1"/>
    <col min="5895" max="5895" width="16.7109375" style="5" bestFit="1" customWidth="1"/>
    <col min="5896" max="5896" width="18" style="5" bestFit="1" customWidth="1"/>
    <col min="5897" max="5897" width="17.7109375" style="5" bestFit="1" customWidth="1"/>
    <col min="5898" max="5898" width="13.5703125" style="5" customWidth="1"/>
    <col min="5899" max="5899" width="18.5703125" style="5" bestFit="1" customWidth="1"/>
    <col min="5900" max="5901" width="12.28515625" style="5" bestFit="1" customWidth="1"/>
    <col min="5902" max="6144" width="11.42578125" style="5"/>
    <col min="6145" max="6145" width="2.5703125" style="5" customWidth="1"/>
    <col min="6146" max="6146" width="22.42578125" style="5" customWidth="1"/>
    <col min="6147" max="6147" width="12.140625" style="5" bestFit="1" customWidth="1"/>
    <col min="6148" max="6148" width="8.140625" style="5" customWidth="1"/>
    <col min="6149" max="6149" width="8.5703125" style="5" customWidth="1"/>
    <col min="6150" max="6150" width="17" style="5" bestFit="1" customWidth="1"/>
    <col min="6151" max="6151" width="16.7109375" style="5" bestFit="1" customWidth="1"/>
    <col min="6152" max="6152" width="18" style="5" bestFit="1" customWidth="1"/>
    <col min="6153" max="6153" width="17.7109375" style="5" bestFit="1" customWidth="1"/>
    <col min="6154" max="6154" width="13.5703125" style="5" customWidth="1"/>
    <col min="6155" max="6155" width="18.5703125" style="5" bestFit="1" customWidth="1"/>
    <col min="6156" max="6157" width="12.28515625" style="5" bestFit="1" customWidth="1"/>
    <col min="6158" max="6400" width="11.42578125" style="5"/>
    <col min="6401" max="6401" width="2.5703125" style="5" customWidth="1"/>
    <col min="6402" max="6402" width="22.42578125" style="5" customWidth="1"/>
    <col min="6403" max="6403" width="12.140625" style="5" bestFit="1" customWidth="1"/>
    <col min="6404" max="6404" width="8.140625" style="5" customWidth="1"/>
    <col min="6405" max="6405" width="8.5703125" style="5" customWidth="1"/>
    <col min="6406" max="6406" width="17" style="5" bestFit="1" customWidth="1"/>
    <col min="6407" max="6407" width="16.7109375" style="5" bestFit="1" customWidth="1"/>
    <col min="6408" max="6408" width="18" style="5" bestFit="1" customWidth="1"/>
    <col min="6409" max="6409" width="17.7109375" style="5" bestFit="1" customWidth="1"/>
    <col min="6410" max="6410" width="13.5703125" style="5" customWidth="1"/>
    <col min="6411" max="6411" width="18.5703125" style="5" bestFit="1" customWidth="1"/>
    <col min="6412" max="6413" width="12.28515625" style="5" bestFit="1" customWidth="1"/>
    <col min="6414" max="6656" width="11.42578125" style="5"/>
    <col min="6657" max="6657" width="2.5703125" style="5" customWidth="1"/>
    <col min="6658" max="6658" width="22.42578125" style="5" customWidth="1"/>
    <col min="6659" max="6659" width="12.140625" style="5" bestFit="1" customWidth="1"/>
    <col min="6660" max="6660" width="8.140625" style="5" customWidth="1"/>
    <col min="6661" max="6661" width="8.5703125" style="5" customWidth="1"/>
    <col min="6662" max="6662" width="17" style="5" bestFit="1" customWidth="1"/>
    <col min="6663" max="6663" width="16.7109375" style="5" bestFit="1" customWidth="1"/>
    <col min="6664" max="6664" width="18" style="5" bestFit="1" customWidth="1"/>
    <col min="6665" max="6665" width="17.7109375" style="5" bestFit="1" customWidth="1"/>
    <col min="6666" max="6666" width="13.5703125" style="5" customWidth="1"/>
    <col min="6667" max="6667" width="18.5703125" style="5" bestFit="1" customWidth="1"/>
    <col min="6668" max="6669" width="12.28515625" style="5" bestFit="1" customWidth="1"/>
    <col min="6670" max="6912" width="11.42578125" style="5"/>
    <col min="6913" max="6913" width="2.5703125" style="5" customWidth="1"/>
    <col min="6914" max="6914" width="22.42578125" style="5" customWidth="1"/>
    <col min="6915" max="6915" width="12.140625" style="5" bestFit="1" customWidth="1"/>
    <col min="6916" max="6916" width="8.140625" style="5" customWidth="1"/>
    <col min="6917" max="6917" width="8.5703125" style="5" customWidth="1"/>
    <col min="6918" max="6918" width="17" style="5" bestFit="1" customWidth="1"/>
    <col min="6919" max="6919" width="16.7109375" style="5" bestFit="1" customWidth="1"/>
    <col min="6920" max="6920" width="18" style="5" bestFit="1" customWidth="1"/>
    <col min="6921" max="6921" width="17.7109375" style="5" bestFit="1" customWidth="1"/>
    <col min="6922" max="6922" width="13.5703125" style="5" customWidth="1"/>
    <col min="6923" max="6923" width="18.5703125" style="5" bestFit="1" customWidth="1"/>
    <col min="6924" max="6925" width="12.28515625" style="5" bestFit="1" customWidth="1"/>
    <col min="6926" max="7168" width="11.42578125" style="5"/>
    <col min="7169" max="7169" width="2.5703125" style="5" customWidth="1"/>
    <col min="7170" max="7170" width="22.42578125" style="5" customWidth="1"/>
    <col min="7171" max="7171" width="12.140625" style="5" bestFit="1" customWidth="1"/>
    <col min="7172" max="7172" width="8.140625" style="5" customWidth="1"/>
    <col min="7173" max="7173" width="8.5703125" style="5" customWidth="1"/>
    <col min="7174" max="7174" width="17" style="5" bestFit="1" customWidth="1"/>
    <col min="7175" max="7175" width="16.7109375" style="5" bestFit="1" customWidth="1"/>
    <col min="7176" max="7176" width="18" style="5" bestFit="1" customWidth="1"/>
    <col min="7177" max="7177" width="17.7109375" style="5" bestFit="1" customWidth="1"/>
    <col min="7178" max="7178" width="13.5703125" style="5" customWidth="1"/>
    <col min="7179" max="7179" width="18.5703125" style="5" bestFit="1" customWidth="1"/>
    <col min="7180" max="7181" width="12.28515625" style="5" bestFit="1" customWidth="1"/>
    <col min="7182" max="7424" width="11.42578125" style="5"/>
    <col min="7425" max="7425" width="2.5703125" style="5" customWidth="1"/>
    <col min="7426" max="7426" width="22.42578125" style="5" customWidth="1"/>
    <col min="7427" max="7427" width="12.140625" style="5" bestFit="1" customWidth="1"/>
    <col min="7428" max="7428" width="8.140625" style="5" customWidth="1"/>
    <col min="7429" max="7429" width="8.5703125" style="5" customWidth="1"/>
    <col min="7430" max="7430" width="17" style="5" bestFit="1" customWidth="1"/>
    <col min="7431" max="7431" width="16.7109375" style="5" bestFit="1" customWidth="1"/>
    <col min="7432" max="7432" width="18" style="5" bestFit="1" customWidth="1"/>
    <col min="7433" max="7433" width="17.7109375" style="5" bestFit="1" customWidth="1"/>
    <col min="7434" max="7434" width="13.5703125" style="5" customWidth="1"/>
    <col min="7435" max="7435" width="18.5703125" style="5" bestFit="1" customWidth="1"/>
    <col min="7436" max="7437" width="12.28515625" style="5" bestFit="1" customWidth="1"/>
    <col min="7438" max="7680" width="11.42578125" style="5"/>
    <col min="7681" max="7681" width="2.5703125" style="5" customWidth="1"/>
    <col min="7682" max="7682" width="22.42578125" style="5" customWidth="1"/>
    <col min="7683" max="7683" width="12.140625" style="5" bestFit="1" customWidth="1"/>
    <col min="7684" max="7684" width="8.140625" style="5" customWidth="1"/>
    <col min="7685" max="7685" width="8.5703125" style="5" customWidth="1"/>
    <col min="7686" max="7686" width="17" style="5" bestFit="1" customWidth="1"/>
    <col min="7687" max="7687" width="16.7109375" style="5" bestFit="1" customWidth="1"/>
    <col min="7688" max="7688" width="18" style="5" bestFit="1" customWidth="1"/>
    <col min="7689" max="7689" width="17.7109375" style="5" bestFit="1" customWidth="1"/>
    <col min="7690" max="7690" width="13.5703125" style="5" customWidth="1"/>
    <col min="7691" max="7691" width="18.5703125" style="5" bestFit="1" customWidth="1"/>
    <col min="7692" max="7693" width="12.28515625" style="5" bestFit="1" customWidth="1"/>
    <col min="7694" max="7936" width="11.42578125" style="5"/>
    <col min="7937" max="7937" width="2.5703125" style="5" customWidth="1"/>
    <col min="7938" max="7938" width="22.42578125" style="5" customWidth="1"/>
    <col min="7939" max="7939" width="12.140625" style="5" bestFit="1" customWidth="1"/>
    <col min="7940" max="7940" width="8.140625" style="5" customWidth="1"/>
    <col min="7941" max="7941" width="8.5703125" style="5" customWidth="1"/>
    <col min="7942" max="7942" width="17" style="5" bestFit="1" customWidth="1"/>
    <col min="7943" max="7943" width="16.7109375" style="5" bestFit="1" customWidth="1"/>
    <col min="7944" max="7944" width="18" style="5" bestFit="1" customWidth="1"/>
    <col min="7945" max="7945" width="17.7109375" style="5" bestFit="1" customWidth="1"/>
    <col min="7946" max="7946" width="13.5703125" style="5" customWidth="1"/>
    <col min="7947" max="7947" width="18.5703125" style="5" bestFit="1" customWidth="1"/>
    <col min="7948" max="7949" width="12.28515625" style="5" bestFit="1" customWidth="1"/>
    <col min="7950" max="8192" width="11.42578125" style="5"/>
    <col min="8193" max="8193" width="2.5703125" style="5" customWidth="1"/>
    <col min="8194" max="8194" width="22.42578125" style="5" customWidth="1"/>
    <col min="8195" max="8195" width="12.140625" style="5" bestFit="1" customWidth="1"/>
    <col min="8196" max="8196" width="8.140625" style="5" customWidth="1"/>
    <col min="8197" max="8197" width="8.5703125" style="5" customWidth="1"/>
    <col min="8198" max="8198" width="17" style="5" bestFit="1" customWidth="1"/>
    <col min="8199" max="8199" width="16.7109375" style="5" bestFit="1" customWidth="1"/>
    <col min="8200" max="8200" width="18" style="5" bestFit="1" customWidth="1"/>
    <col min="8201" max="8201" width="17.7109375" style="5" bestFit="1" customWidth="1"/>
    <col min="8202" max="8202" width="13.5703125" style="5" customWidth="1"/>
    <col min="8203" max="8203" width="18.5703125" style="5" bestFit="1" customWidth="1"/>
    <col min="8204" max="8205" width="12.28515625" style="5" bestFit="1" customWidth="1"/>
    <col min="8206" max="8448" width="11.42578125" style="5"/>
    <col min="8449" max="8449" width="2.5703125" style="5" customWidth="1"/>
    <col min="8450" max="8450" width="22.42578125" style="5" customWidth="1"/>
    <col min="8451" max="8451" width="12.140625" style="5" bestFit="1" customWidth="1"/>
    <col min="8452" max="8452" width="8.140625" style="5" customWidth="1"/>
    <col min="8453" max="8453" width="8.5703125" style="5" customWidth="1"/>
    <col min="8454" max="8454" width="17" style="5" bestFit="1" customWidth="1"/>
    <col min="8455" max="8455" width="16.7109375" style="5" bestFit="1" customWidth="1"/>
    <col min="8456" max="8456" width="18" style="5" bestFit="1" customWidth="1"/>
    <col min="8457" max="8457" width="17.7109375" style="5" bestFit="1" customWidth="1"/>
    <col min="8458" max="8458" width="13.5703125" style="5" customWidth="1"/>
    <col min="8459" max="8459" width="18.5703125" style="5" bestFit="1" customWidth="1"/>
    <col min="8460" max="8461" width="12.28515625" style="5" bestFit="1" customWidth="1"/>
    <col min="8462" max="8704" width="11.42578125" style="5"/>
    <col min="8705" max="8705" width="2.5703125" style="5" customWidth="1"/>
    <col min="8706" max="8706" width="22.42578125" style="5" customWidth="1"/>
    <col min="8707" max="8707" width="12.140625" style="5" bestFit="1" customWidth="1"/>
    <col min="8708" max="8708" width="8.140625" style="5" customWidth="1"/>
    <col min="8709" max="8709" width="8.5703125" style="5" customWidth="1"/>
    <col min="8710" max="8710" width="17" style="5" bestFit="1" customWidth="1"/>
    <col min="8711" max="8711" width="16.7109375" style="5" bestFit="1" customWidth="1"/>
    <col min="8712" max="8712" width="18" style="5" bestFit="1" customWidth="1"/>
    <col min="8713" max="8713" width="17.7109375" style="5" bestFit="1" customWidth="1"/>
    <col min="8714" max="8714" width="13.5703125" style="5" customWidth="1"/>
    <col min="8715" max="8715" width="18.5703125" style="5" bestFit="1" customWidth="1"/>
    <col min="8716" max="8717" width="12.28515625" style="5" bestFit="1" customWidth="1"/>
    <col min="8718" max="8960" width="11.42578125" style="5"/>
    <col min="8961" max="8961" width="2.5703125" style="5" customWidth="1"/>
    <col min="8962" max="8962" width="22.42578125" style="5" customWidth="1"/>
    <col min="8963" max="8963" width="12.140625" style="5" bestFit="1" customWidth="1"/>
    <col min="8964" max="8964" width="8.140625" style="5" customWidth="1"/>
    <col min="8965" max="8965" width="8.5703125" style="5" customWidth="1"/>
    <col min="8966" max="8966" width="17" style="5" bestFit="1" customWidth="1"/>
    <col min="8967" max="8967" width="16.7109375" style="5" bestFit="1" customWidth="1"/>
    <col min="8968" max="8968" width="18" style="5" bestFit="1" customWidth="1"/>
    <col min="8969" max="8969" width="17.7109375" style="5" bestFit="1" customWidth="1"/>
    <col min="8970" max="8970" width="13.5703125" style="5" customWidth="1"/>
    <col min="8971" max="8971" width="18.5703125" style="5" bestFit="1" customWidth="1"/>
    <col min="8972" max="8973" width="12.28515625" style="5" bestFit="1" customWidth="1"/>
    <col min="8974" max="9216" width="11.42578125" style="5"/>
    <col min="9217" max="9217" width="2.5703125" style="5" customWidth="1"/>
    <col min="9218" max="9218" width="22.42578125" style="5" customWidth="1"/>
    <col min="9219" max="9219" width="12.140625" style="5" bestFit="1" customWidth="1"/>
    <col min="9220" max="9220" width="8.140625" style="5" customWidth="1"/>
    <col min="9221" max="9221" width="8.5703125" style="5" customWidth="1"/>
    <col min="9222" max="9222" width="17" style="5" bestFit="1" customWidth="1"/>
    <col min="9223" max="9223" width="16.7109375" style="5" bestFit="1" customWidth="1"/>
    <col min="9224" max="9224" width="18" style="5" bestFit="1" customWidth="1"/>
    <col min="9225" max="9225" width="17.7109375" style="5" bestFit="1" customWidth="1"/>
    <col min="9226" max="9226" width="13.5703125" style="5" customWidth="1"/>
    <col min="9227" max="9227" width="18.5703125" style="5" bestFit="1" customWidth="1"/>
    <col min="9228" max="9229" width="12.28515625" style="5" bestFit="1" customWidth="1"/>
    <col min="9230" max="9472" width="11.42578125" style="5"/>
    <col min="9473" max="9473" width="2.5703125" style="5" customWidth="1"/>
    <col min="9474" max="9474" width="22.42578125" style="5" customWidth="1"/>
    <col min="9475" max="9475" width="12.140625" style="5" bestFit="1" customWidth="1"/>
    <col min="9476" max="9476" width="8.140625" style="5" customWidth="1"/>
    <col min="9477" max="9477" width="8.5703125" style="5" customWidth="1"/>
    <col min="9478" max="9478" width="17" style="5" bestFit="1" customWidth="1"/>
    <col min="9479" max="9479" width="16.7109375" style="5" bestFit="1" customWidth="1"/>
    <col min="9480" max="9480" width="18" style="5" bestFit="1" customWidth="1"/>
    <col min="9481" max="9481" width="17.7109375" style="5" bestFit="1" customWidth="1"/>
    <col min="9482" max="9482" width="13.5703125" style="5" customWidth="1"/>
    <col min="9483" max="9483" width="18.5703125" style="5" bestFit="1" customWidth="1"/>
    <col min="9484" max="9485" width="12.28515625" style="5" bestFit="1" customWidth="1"/>
    <col min="9486" max="9728" width="11.42578125" style="5"/>
    <col min="9729" max="9729" width="2.5703125" style="5" customWidth="1"/>
    <col min="9730" max="9730" width="22.42578125" style="5" customWidth="1"/>
    <col min="9731" max="9731" width="12.140625" style="5" bestFit="1" customWidth="1"/>
    <col min="9732" max="9732" width="8.140625" style="5" customWidth="1"/>
    <col min="9733" max="9733" width="8.5703125" style="5" customWidth="1"/>
    <col min="9734" max="9734" width="17" style="5" bestFit="1" customWidth="1"/>
    <col min="9735" max="9735" width="16.7109375" style="5" bestFit="1" customWidth="1"/>
    <col min="9736" max="9736" width="18" style="5" bestFit="1" customWidth="1"/>
    <col min="9737" max="9737" width="17.7109375" style="5" bestFit="1" customWidth="1"/>
    <col min="9738" max="9738" width="13.5703125" style="5" customWidth="1"/>
    <col min="9739" max="9739" width="18.5703125" style="5" bestFit="1" customWidth="1"/>
    <col min="9740" max="9741" width="12.28515625" style="5" bestFit="1" customWidth="1"/>
    <col min="9742" max="9984" width="11.42578125" style="5"/>
    <col min="9985" max="9985" width="2.5703125" style="5" customWidth="1"/>
    <col min="9986" max="9986" width="22.42578125" style="5" customWidth="1"/>
    <col min="9987" max="9987" width="12.140625" style="5" bestFit="1" customWidth="1"/>
    <col min="9988" max="9988" width="8.140625" style="5" customWidth="1"/>
    <col min="9989" max="9989" width="8.5703125" style="5" customWidth="1"/>
    <col min="9990" max="9990" width="17" style="5" bestFit="1" customWidth="1"/>
    <col min="9991" max="9991" width="16.7109375" style="5" bestFit="1" customWidth="1"/>
    <col min="9992" max="9992" width="18" style="5" bestFit="1" customWidth="1"/>
    <col min="9993" max="9993" width="17.7109375" style="5" bestFit="1" customWidth="1"/>
    <col min="9994" max="9994" width="13.5703125" style="5" customWidth="1"/>
    <col min="9995" max="9995" width="18.5703125" style="5" bestFit="1" customWidth="1"/>
    <col min="9996" max="9997" width="12.28515625" style="5" bestFit="1" customWidth="1"/>
    <col min="9998" max="10240" width="11.42578125" style="5"/>
    <col min="10241" max="10241" width="2.5703125" style="5" customWidth="1"/>
    <col min="10242" max="10242" width="22.42578125" style="5" customWidth="1"/>
    <col min="10243" max="10243" width="12.140625" style="5" bestFit="1" customWidth="1"/>
    <col min="10244" max="10244" width="8.140625" style="5" customWidth="1"/>
    <col min="10245" max="10245" width="8.5703125" style="5" customWidth="1"/>
    <col min="10246" max="10246" width="17" style="5" bestFit="1" customWidth="1"/>
    <col min="10247" max="10247" width="16.7109375" style="5" bestFit="1" customWidth="1"/>
    <col min="10248" max="10248" width="18" style="5" bestFit="1" customWidth="1"/>
    <col min="10249" max="10249" width="17.7109375" style="5" bestFit="1" customWidth="1"/>
    <col min="10250" max="10250" width="13.5703125" style="5" customWidth="1"/>
    <col min="10251" max="10251" width="18.5703125" style="5" bestFit="1" customWidth="1"/>
    <col min="10252" max="10253" width="12.28515625" style="5" bestFit="1" customWidth="1"/>
    <col min="10254" max="10496" width="11.42578125" style="5"/>
    <col min="10497" max="10497" width="2.5703125" style="5" customWidth="1"/>
    <col min="10498" max="10498" width="22.42578125" style="5" customWidth="1"/>
    <col min="10499" max="10499" width="12.140625" style="5" bestFit="1" customWidth="1"/>
    <col min="10500" max="10500" width="8.140625" style="5" customWidth="1"/>
    <col min="10501" max="10501" width="8.5703125" style="5" customWidth="1"/>
    <col min="10502" max="10502" width="17" style="5" bestFit="1" customWidth="1"/>
    <col min="10503" max="10503" width="16.7109375" style="5" bestFit="1" customWidth="1"/>
    <col min="10504" max="10504" width="18" style="5" bestFit="1" customWidth="1"/>
    <col min="10505" max="10505" width="17.7109375" style="5" bestFit="1" customWidth="1"/>
    <col min="10506" max="10506" width="13.5703125" style="5" customWidth="1"/>
    <col min="10507" max="10507" width="18.5703125" style="5" bestFit="1" customWidth="1"/>
    <col min="10508" max="10509" width="12.28515625" style="5" bestFit="1" customWidth="1"/>
    <col min="10510" max="10752" width="11.42578125" style="5"/>
    <col min="10753" max="10753" width="2.5703125" style="5" customWidth="1"/>
    <col min="10754" max="10754" width="22.42578125" style="5" customWidth="1"/>
    <col min="10755" max="10755" width="12.140625" style="5" bestFit="1" customWidth="1"/>
    <col min="10756" max="10756" width="8.140625" style="5" customWidth="1"/>
    <col min="10757" max="10757" width="8.5703125" style="5" customWidth="1"/>
    <col min="10758" max="10758" width="17" style="5" bestFit="1" customWidth="1"/>
    <col min="10759" max="10759" width="16.7109375" style="5" bestFit="1" customWidth="1"/>
    <col min="10760" max="10760" width="18" style="5" bestFit="1" customWidth="1"/>
    <col min="10761" max="10761" width="17.7109375" style="5" bestFit="1" customWidth="1"/>
    <col min="10762" max="10762" width="13.5703125" style="5" customWidth="1"/>
    <col min="10763" max="10763" width="18.5703125" style="5" bestFit="1" customWidth="1"/>
    <col min="10764" max="10765" width="12.28515625" style="5" bestFit="1" customWidth="1"/>
    <col min="10766" max="11008" width="11.42578125" style="5"/>
    <col min="11009" max="11009" width="2.5703125" style="5" customWidth="1"/>
    <col min="11010" max="11010" width="22.42578125" style="5" customWidth="1"/>
    <col min="11011" max="11011" width="12.140625" style="5" bestFit="1" customWidth="1"/>
    <col min="11012" max="11012" width="8.140625" style="5" customWidth="1"/>
    <col min="11013" max="11013" width="8.5703125" style="5" customWidth="1"/>
    <col min="11014" max="11014" width="17" style="5" bestFit="1" customWidth="1"/>
    <col min="11015" max="11015" width="16.7109375" style="5" bestFit="1" customWidth="1"/>
    <col min="11016" max="11016" width="18" style="5" bestFit="1" customWidth="1"/>
    <col min="11017" max="11017" width="17.7109375" style="5" bestFit="1" customWidth="1"/>
    <col min="11018" max="11018" width="13.5703125" style="5" customWidth="1"/>
    <col min="11019" max="11019" width="18.5703125" style="5" bestFit="1" customWidth="1"/>
    <col min="11020" max="11021" width="12.28515625" style="5" bestFit="1" customWidth="1"/>
    <col min="11022" max="11264" width="11.42578125" style="5"/>
    <col min="11265" max="11265" width="2.5703125" style="5" customWidth="1"/>
    <col min="11266" max="11266" width="22.42578125" style="5" customWidth="1"/>
    <col min="11267" max="11267" width="12.140625" style="5" bestFit="1" customWidth="1"/>
    <col min="11268" max="11268" width="8.140625" style="5" customWidth="1"/>
    <col min="11269" max="11269" width="8.5703125" style="5" customWidth="1"/>
    <col min="11270" max="11270" width="17" style="5" bestFit="1" customWidth="1"/>
    <col min="11271" max="11271" width="16.7109375" style="5" bestFit="1" customWidth="1"/>
    <col min="11272" max="11272" width="18" style="5" bestFit="1" customWidth="1"/>
    <col min="11273" max="11273" width="17.7109375" style="5" bestFit="1" customWidth="1"/>
    <col min="11274" max="11274" width="13.5703125" style="5" customWidth="1"/>
    <col min="11275" max="11275" width="18.5703125" style="5" bestFit="1" customWidth="1"/>
    <col min="11276" max="11277" width="12.28515625" style="5" bestFit="1" customWidth="1"/>
    <col min="11278" max="11520" width="11.42578125" style="5"/>
    <col min="11521" max="11521" width="2.5703125" style="5" customWidth="1"/>
    <col min="11522" max="11522" width="22.42578125" style="5" customWidth="1"/>
    <col min="11523" max="11523" width="12.140625" style="5" bestFit="1" customWidth="1"/>
    <col min="11524" max="11524" width="8.140625" style="5" customWidth="1"/>
    <col min="11525" max="11525" width="8.5703125" style="5" customWidth="1"/>
    <col min="11526" max="11526" width="17" style="5" bestFit="1" customWidth="1"/>
    <col min="11527" max="11527" width="16.7109375" style="5" bestFit="1" customWidth="1"/>
    <col min="11528" max="11528" width="18" style="5" bestFit="1" customWidth="1"/>
    <col min="11529" max="11529" width="17.7109375" style="5" bestFit="1" customWidth="1"/>
    <col min="11530" max="11530" width="13.5703125" style="5" customWidth="1"/>
    <col min="11531" max="11531" width="18.5703125" style="5" bestFit="1" customWidth="1"/>
    <col min="11532" max="11533" width="12.28515625" style="5" bestFit="1" customWidth="1"/>
    <col min="11534" max="11776" width="11.42578125" style="5"/>
    <col min="11777" max="11777" width="2.5703125" style="5" customWidth="1"/>
    <col min="11778" max="11778" width="22.42578125" style="5" customWidth="1"/>
    <col min="11779" max="11779" width="12.140625" style="5" bestFit="1" customWidth="1"/>
    <col min="11780" max="11780" width="8.140625" style="5" customWidth="1"/>
    <col min="11781" max="11781" width="8.5703125" style="5" customWidth="1"/>
    <col min="11782" max="11782" width="17" style="5" bestFit="1" customWidth="1"/>
    <col min="11783" max="11783" width="16.7109375" style="5" bestFit="1" customWidth="1"/>
    <col min="11784" max="11784" width="18" style="5" bestFit="1" customWidth="1"/>
    <col min="11785" max="11785" width="17.7109375" style="5" bestFit="1" customWidth="1"/>
    <col min="11786" max="11786" width="13.5703125" style="5" customWidth="1"/>
    <col min="11787" max="11787" width="18.5703125" style="5" bestFit="1" customWidth="1"/>
    <col min="11788" max="11789" width="12.28515625" style="5" bestFit="1" customWidth="1"/>
    <col min="11790" max="12032" width="11.42578125" style="5"/>
    <col min="12033" max="12033" width="2.5703125" style="5" customWidth="1"/>
    <col min="12034" max="12034" width="22.42578125" style="5" customWidth="1"/>
    <col min="12035" max="12035" width="12.140625" style="5" bestFit="1" customWidth="1"/>
    <col min="12036" max="12036" width="8.140625" style="5" customWidth="1"/>
    <col min="12037" max="12037" width="8.5703125" style="5" customWidth="1"/>
    <col min="12038" max="12038" width="17" style="5" bestFit="1" customWidth="1"/>
    <col min="12039" max="12039" width="16.7109375" style="5" bestFit="1" customWidth="1"/>
    <col min="12040" max="12040" width="18" style="5" bestFit="1" customWidth="1"/>
    <col min="12041" max="12041" width="17.7109375" style="5" bestFit="1" customWidth="1"/>
    <col min="12042" max="12042" width="13.5703125" style="5" customWidth="1"/>
    <col min="12043" max="12043" width="18.5703125" style="5" bestFit="1" customWidth="1"/>
    <col min="12044" max="12045" width="12.28515625" style="5" bestFit="1" customWidth="1"/>
    <col min="12046" max="12288" width="11.42578125" style="5"/>
    <col min="12289" max="12289" width="2.5703125" style="5" customWidth="1"/>
    <col min="12290" max="12290" width="22.42578125" style="5" customWidth="1"/>
    <col min="12291" max="12291" width="12.140625" style="5" bestFit="1" customWidth="1"/>
    <col min="12292" max="12292" width="8.140625" style="5" customWidth="1"/>
    <col min="12293" max="12293" width="8.5703125" style="5" customWidth="1"/>
    <col min="12294" max="12294" width="17" style="5" bestFit="1" customWidth="1"/>
    <col min="12295" max="12295" width="16.7109375" style="5" bestFit="1" customWidth="1"/>
    <col min="12296" max="12296" width="18" style="5" bestFit="1" customWidth="1"/>
    <col min="12297" max="12297" width="17.7109375" style="5" bestFit="1" customWidth="1"/>
    <col min="12298" max="12298" width="13.5703125" style="5" customWidth="1"/>
    <col min="12299" max="12299" width="18.5703125" style="5" bestFit="1" customWidth="1"/>
    <col min="12300" max="12301" width="12.28515625" style="5" bestFit="1" customWidth="1"/>
    <col min="12302" max="12544" width="11.42578125" style="5"/>
    <col min="12545" max="12545" width="2.5703125" style="5" customWidth="1"/>
    <col min="12546" max="12546" width="22.42578125" style="5" customWidth="1"/>
    <col min="12547" max="12547" width="12.140625" style="5" bestFit="1" customWidth="1"/>
    <col min="12548" max="12548" width="8.140625" style="5" customWidth="1"/>
    <col min="12549" max="12549" width="8.5703125" style="5" customWidth="1"/>
    <col min="12550" max="12550" width="17" style="5" bestFit="1" customWidth="1"/>
    <col min="12551" max="12551" width="16.7109375" style="5" bestFit="1" customWidth="1"/>
    <col min="12552" max="12552" width="18" style="5" bestFit="1" customWidth="1"/>
    <col min="12553" max="12553" width="17.7109375" style="5" bestFit="1" customWidth="1"/>
    <col min="12554" max="12554" width="13.5703125" style="5" customWidth="1"/>
    <col min="12555" max="12555" width="18.5703125" style="5" bestFit="1" customWidth="1"/>
    <col min="12556" max="12557" width="12.28515625" style="5" bestFit="1" customWidth="1"/>
    <col min="12558" max="12800" width="11.42578125" style="5"/>
    <col min="12801" max="12801" width="2.5703125" style="5" customWidth="1"/>
    <col min="12802" max="12802" width="22.42578125" style="5" customWidth="1"/>
    <col min="12803" max="12803" width="12.140625" style="5" bestFit="1" customWidth="1"/>
    <col min="12804" max="12804" width="8.140625" style="5" customWidth="1"/>
    <col min="12805" max="12805" width="8.5703125" style="5" customWidth="1"/>
    <col min="12806" max="12806" width="17" style="5" bestFit="1" customWidth="1"/>
    <col min="12807" max="12807" width="16.7109375" style="5" bestFit="1" customWidth="1"/>
    <col min="12808" max="12808" width="18" style="5" bestFit="1" customWidth="1"/>
    <col min="12809" max="12809" width="17.7109375" style="5" bestFit="1" customWidth="1"/>
    <col min="12810" max="12810" width="13.5703125" style="5" customWidth="1"/>
    <col min="12811" max="12811" width="18.5703125" style="5" bestFit="1" customWidth="1"/>
    <col min="12812" max="12813" width="12.28515625" style="5" bestFit="1" customWidth="1"/>
    <col min="12814" max="13056" width="11.42578125" style="5"/>
    <col min="13057" max="13057" width="2.5703125" style="5" customWidth="1"/>
    <col min="13058" max="13058" width="22.42578125" style="5" customWidth="1"/>
    <col min="13059" max="13059" width="12.140625" style="5" bestFit="1" customWidth="1"/>
    <col min="13060" max="13060" width="8.140625" style="5" customWidth="1"/>
    <col min="13061" max="13061" width="8.5703125" style="5" customWidth="1"/>
    <col min="13062" max="13062" width="17" style="5" bestFit="1" customWidth="1"/>
    <col min="13063" max="13063" width="16.7109375" style="5" bestFit="1" customWidth="1"/>
    <col min="13064" max="13064" width="18" style="5" bestFit="1" customWidth="1"/>
    <col min="13065" max="13065" width="17.7109375" style="5" bestFit="1" customWidth="1"/>
    <col min="13066" max="13066" width="13.5703125" style="5" customWidth="1"/>
    <col min="13067" max="13067" width="18.5703125" style="5" bestFit="1" customWidth="1"/>
    <col min="13068" max="13069" width="12.28515625" style="5" bestFit="1" customWidth="1"/>
    <col min="13070" max="13312" width="11.42578125" style="5"/>
    <col min="13313" max="13313" width="2.5703125" style="5" customWidth="1"/>
    <col min="13314" max="13314" width="22.42578125" style="5" customWidth="1"/>
    <col min="13315" max="13315" width="12.140625" style="5" bestFit="1" customWidth="1"/>
    <col min="13316" max="13316" width="8.140625" style="5" customWidth="1"/>
    <col min="13317" max="13317" width="8.5703125" style="5" customWidth="1"/>
    <col min="13318" max="13318" width="17" style="5" bestFit="1" customWidth="1"/>
    <col min="13319" max="13319" width="16.7109375" style="5" bestFit="1" customWidth="1"/>
    <col min="13320" max="13320" width="18" style="5" bestFit="1" customWidth="1"/>
    <col min="13321" max="13321" width="17.7109375" style="5" bestFit="1" customWidth="1"/>
    <col min="13322" max="13322" width="13.5703125" style="5" customWidth="1"/>
    <col min="13323" max="13323" width="18.5703125" style="5" bestFit="1" customWidth="1"/>
    <col min="13324" max="13325" width="12.28515625" style="5" bestFit="1" customWidth="1"/>
    <col min="13326" max="13568" width="11.42578125" style="5"/>
    <col min="13569" max="13569" width="2.5703125" style="5" customWidth="1"/>
    <col min="13570" max="13570" width="22.42578125" style="5" customWidth="1"/>
    <col min="13571" max="13571" width="12.140625" style="5" bestFit="1" customWidth="1"/>
    <col min="13572" max="13572" width="8.140625" style="5" customWidth="1"/>
    <col min="13573" max="13573" width="8.5703125" style="5" customWidth="1"/>
    <col min="13574" max="13574" width="17" style="5" bestFit="1" customWidth="1"/>
    <col min="13575" max="13575" width="16.7109375" style="5" bestFit="1" customWidth="1"/>
    <col min="13576" max="13576" width="18" style="5" bestFit="1" customWidth="1"/>
    <col min="13577" max="13577" width="17.7109375" style="5" bestFit="1" customWidth="1"/>
    <col min="13578" max="13578" width="13.5703125" style="5" customWidth="1"/>
    <col min="13579" max="13579" width="18.5703125" style="5" bestFit="1" customWidth="1"/>
    <col min="13580" max="13581" width="12.28515625" style="5" bestFit="1" customWidth="1"/>
    <col min="13582" max="13824" width="11.42578125" style="5"/>
    <col min="13825" max="13825" width="2.5703125" style="5" customWidth="1"/>
    <col min="13826" max="13826" width="22.42578125" style="5" customWidth="1"/>
    <col min="13827" max="13827" width="12.140625" style="5" bestFit="1" customWidth="1"/>
    <col min="13828" max="13828" width="8.140625" style="5" customWidth="1"/>
    <col min="13829" max="13829" width="8.5703125" style="5" customWidth="1"/>
    <col min="13830" max="13830" width="17" style="5" bestFit="1" customWidth="1"/>
    <col min="13831" max="13831" width="16.7109375" style="5" bestFit="1" customWidth="1"/>
    <col min="13832" max="13832" width="18" style="5" bestFit="1" customWidth="1"/>
    <col min="13833" max="13833" width="17.7109375" style="5" bestFit="1" customWidth="1"/>
    <col min="13834" max="13834" width="13.5703125" style="5" customWidth="1"/>
    <col min="13835" max="13835" width="18.5703125" style="5" bestFit="1" customWidth="1"/>
    <col min="13836" max="13837" width="12.28515625" style="5" bestFit="1" customWidth="1"/>
    <col min="13838" max="14080" width="11.42578125" style="5"/>
    <col min="14081" max="14081" width="2.5703125" style="5" customWidth="1"/>
    <col min="14082" max="14082" width="22.42578125" style="5" customWidth="1"/>
    <col min="14083" max="14083" width="12.140625" style="5" bestFit="1" customWidth="1"/>
    <col min="14084" max="14084" width="8.140625" style="5" customWidth="1"/>
    <col min="14085" max="14085" width="8.5703125" style="5" customWidth="1"/>
    <col min="14086" max="14086" width="17" style="5" bestFit="1" customWidth="1"/>
    <col min="14087" max="14087" width="16.7109375" style="5" bestFit="1" customWidth="1"/>
    <col min="14088" max="14088" width="18" style="5" bestFit="1" customWidth="1"/>
    <col min="14089" max="14089" width="17.7109375" style="5" bestFit="1" customWidth="1"/>
    <col min="14090" max="14090" width="13.5703125" style="5" customWidth="1"/>
    <col min="14091" max="14091" width="18.5703125" style="5" bestFit="1" customWidth="1"/>
    <col min="14092" max="14093" width="12.28515625" style="5" bestFit="1" customWidth="1"/>
    <col min="14094" max="14336" width="11.42578125" style="5"/>
    <col min="14337" max="14337" width="2.5703125" style="5" customWidth="1"/>
    <col min="14338" max="14338" width="22.42578125" style="5" customWidth="1"/>
    <col min="14339" max="14339" width="12.140625" style="5" bestFit="1" customWidth="1"/>
    <col min="14340" max="14340" width="8.140625" style="5" customWidth="1"/>
    <col min="14341" max="14341" width="8.5703125" style="5" customWidth="1"/>
    <col min="14342" max="14342" width="17" style="5" bestFit="1" customWidth="1"/>
    <col min="14343" max="14343" width="16.7109375" style="5" bestFit="1" customWidth="1"/>
    <col min="14344" max="14344" width="18" style="5" bestFit="1" customWidth="1"/>
    <col min="14345" max="14345" width="17.7109375" style="5" bestFit="1" customWidth="1"/>
    <col min="14346" max="14346" width="13.5703125" style="5" customWidth="1"/>
    <col min="14347" max="14347" width="18.5703125" style="5" bestFit="1" customWidth="1"/>
    <col min="14348" max="14349" width="12.28515625" style="5" bestFit="1" customWidth="1"/>
    <col min="14350" max="14592" width="11.42578125" style="5"/>
    <col min="14593" max="14593" width="2.5703125" style="5" customWidth="1"/>
    <col min="14594" max="14594" width="22.42578125" style="5" customWidth="1"/>
    <col min="14595" max="14595" width="12.140625" style="5" bestFit="1" customWidth="1"/>
    <col min="14596" max="14596" width="8.140625" style="5" customWidth="1"/>
    <col min="14597" max="14597" width="8.5703125" style="5" customWidth="1"/>
    <col min="14598" max="14598" width="17" style="5" bestFit="1" customWidth="1"/>
    <col min="14599" max="14599" width="16.7109375" style="5" bestFit="1" customWidth="1"/>
    <col min="14600" max="14600" width="18" style="5" bestFit="1" customWidth="1"/>
    <col min="14601" max="14601" width="17.7109375" style="5" bestFit="1" customWidth="1"/>
    <col min="14602" max="14602" width="13.5703125" style="5" customWidth="1"/>
    <col min="14603" max="14603" width="18.5703125" style="5" bestFit="1" customWidth="1"/>
    <col min="14604" max="14605" width="12.28515625" style="5" bestFit="1" customWidth="1"/>
    <col min="14606" max="14848" width="11.42578125" style="5"/>
    <col min="14849" max="14849" width="2.5703125" style="5" customWidth="1"/>
    <col min="14850" max="14850" width="22.42578125" style="5" customWidth="1"/>
    <col min="14851" max="14851" width="12.140625" style="5" bestFit="1" customWidth="1"/>
    <col min="14852" max="14852" width="8.140625" style="5" customWidth="1"/>
    <col min="14853" max="14853" width="8.5703125" style="5" customWidth="1"/>
    <col min="14854" max="14854" width="17" style="5" bestFit="1" customWidth="1"/>
    <col min="14855" max="14855" width="16.7109375" style="5" bestFit="1" customWidth="1"/>
    <col min="14856" max="14856" width="18" style="5" bestFit="1" customWidth="1"/>
    <col min="14857" max="14857" width="17.7109375" style="5" bestFit="1" customWidth="1"/>
    <col min="14858" max="14858" width="13.5703125" style="5" customWidth="1"/>
    <col min="14859" max="14859" width="18.5703125" style="5" bestFit="1" customWidth="1"/>
    <col min="14860" max="14861" width="12.28515625" style="5" bestFit="1" customWidth="1"/>
    <col min="14862" max="15104" width="11.42578125" style="5"/>
    <col min="15105" max="15105" width="2.5703125" style="5" customWidth="1"/>
    <col min="15106" max="15106" width="22.42578125" style="5" customWidth="1"/>
    <col min="15107" max="15107" width="12.140625" style="5" bestFit="1" customWidth="1"/>
    <col min="15108" max="15108" width="8.140625" style="5" customWidth="1"/>
    <col min="15109" max="15109" width="8.5703125" style="5" customWidth="1"/>
    <col min="15110" max="15110" width="17" style="5" bestFit="1" customWidth="1"/>
    <col min="15111" max="15111" width="16.7109375" style="5" bestFit="1" customWidth="1"/>
    <col min="15112" max="15112" width="18" style="5" bestFit="1" customWidth="1"/>
    <col min="15113" max="15113" width="17.7109375" style="5" bestFit="1" customWidth="1"/>
    <col min="15114" max="15114" width="13.5703125" style="5" customWidth="1"/>
    <col min="15115" max="15115" width="18.5703125" style="5" bestFit="1" customWidth="1"/>
    <col min="15116" max="15117" width="12.28515625" style="5" bestFit="1" customWidth="1"/>
    <col min="15118" max="15360" width="11.42578125" style="5"/>
    <col min="15361" max="15361" width="2.5703125" style="5" customWidth="1"/>
    <col min="15362" max="15362" width="22.42578125" style="5" customWidth="1"/>
    <col min="15363" max="15363" width="12.140625" style="5" bestFit="1" customWidth="1"/>
    <col min="15364" max="15364" width="8.140625" style="5" customWidth="1"/>
    <col min="15365" max="15365" width="8.5703125" style="5" customWidth="1"/>
    <col min="15366" max="15366" width="17" style="5" bestFit="1" customWidth="1"/>
    <col min="15367" max="15367" width="16.7109375" style="5" bestFit="1" customWidth="1"/>
    <col min="15368" max="15368" width="18" style="5" bestFit="1" customWidth="1"/>
    <col min="15369" max="15369" width="17.7109375" style="5" bestFit="1" customWidth="1"/>
    <col min="15370" max="15370" width="13.5703125" style="5" customWidth="1"/>
    <col min="15371" max="15371" width="18.5703125" style="5" bestFit="1" customWidth="1"/>
    <col min="15372" max="15373" width="12.28515625" style="5" bestFit="1" customWidth="1"/>
    <col min="15374" max="15616" width="11.42578125" style="5"/>
    <col min="15617" max="15617" width="2.5703125" style="5" customWidth="1"/>
    <col min="15618" max="15618" width="22.42578125" style="5" customWidth="1"/>
    <col min="15619" max="15619" width="12.140625" style="5" bestFit="1" customWidth="1"/>
    <col min="15620" max="15620" width="8.140625" style="5" customWidth="1"/>
    <col min="15621" max="15621" width="8.5703125" style="5" customWidth="1"/>
    <col min="15622" max="15622" width="17" style="5" bestFit="1" customWidth="1"/>
    <col min="15623" max="15623" width="16.7109375" style="5" bestFit="1" customWidth="1"/>
    <col min="15624" max="15624" width="18" style="5" bestFit="1" customWidth="1"/>
    <col min="15625" max="15625" width="17.7109375" style="5" bestFit="1" customWidth="1"/>
    <col min="15626" max="15626" width="13.5703125" style="5" customWidth="1"/>
    <col min="15627" max="15627" width="18.5703125" style="5" bestFit="1" customWidth="1"/>
    <col min="15628" max="15629" width="12.28515625" style="5" bestFit="1" customWidth="1"/>
    <col min="15630" max="15872" width="11.42578125" style="5"/>
    <col min="15873" max="15873" width="2.5703125" style="5" customWidth="1"/>
    <col min="15874" max="15874" width="22.42578125" style="5" customWidth="1"/>
    <col min="15875" max="15875" width="12.140625" style="5" bestFit="1" customWidth="1"/>
    <col min="15876" max="15876" width="8.140625" style="5" customWidth="1"/>
    <col min="15877" max="15877" width="8.5703125" style="5" customWidth="1"/>
    <col min="15878" max="15878" width="17" style="5" bestFit="1" customWidth="1"/>
    <col min="15879" max="15879" width="16.7109375" style="5" bestFit="1" customWidth="1"/>
    <col min="15880" max="15880" width="18" style="5" bestFit="1" customWidth="1"/>
    <col min="15881" max="15881" width="17.7109375" style="5" bestFit="1" customWidth="1"/>
    <col min="15882" max="15882" width="13.5703125" style="5" customWidth="1"/>
    <col min="15883" max="15883" width="18.5703125" style="5" bestFit="1" customWidth="1"/>
    <col min="15884" max="15885" width="12.28515625" style="5" bestFit="1" customWidth="1"/>
    <col min="15886" max="16128" width="11.42578125" style="5"/>
    <col min="16129" max="16129" width="2.5703125" style="5" customWidth="1"/>
    <col min="16130" max="16130" width="22.42578125" style="5" customWidth="1"/>
    <col min="16131" max="16131" width="12.140625" style="5" bestFit="1" customWidth="1"/>
    <col min="16132" max="16132" width="8.140625" style="5" customWidth="1"/>
    <col min="16133" max="16133" width="8.5703125" style="5" customWidth="1"/>
    <col min="16134" max="16134" width="17" style="5" bestFit="1" customWidth="1"/>
    <col min="16135" max="16135" width="16.7109375" style="5" bestFit="1" customWidth="1"/>
    <col min="16136" max="16136" width="18" style="5" bestFit="1" customWidth="1"/>
    <col min="16137" max="16137" width="17.7109375" style="5" bestFit="1" customWidth="1"/>
    <col min="16138" max="16138" width="13.5703125" style="5" customWidth="1"/>
    <col min="16139" max="16139" width="18.5703125" style="5" bestFit="1" customWidth="1"/>
    <col min="16140" max="16141" width="12.28515625" style="5" bestFit="1" customWidth="1"/>
    <col min="16142" max="16384" width="11.42578125" style="5"/>
  </cols>
  <sheetData>
    <row r="1" spans="1:13" x14ac:dyDescent="0.2">
      <c r="A1" s="2" t="s">
        <v>87</v>
      </c>
      <c r="B1" s="2"/>
      <c r="C1" s="3"/>
      <c r="D1" s="3"/>
      <c r="E1" s="4"/>
    </row>
    <row r="2" spans="1:13" x14ac:dyDescent="0.2">
      <c r="A2" s="6" t="s">
        <v>0</v>
      </c>
      <c r="B2" s="6"/>
      <c r="C2" s="3"/>
      <c r="D2" s="3"/>
    </row>
    <row r="3" spans="1:13" x14ac:dyDescent="0.2">
      <c r="A3" s="7" t="s">
        <v>1</v>
      </c>
      <c r="B3" s="6"/>
      <c r="C3" s="3"/>
      <c r="D3" s="3"/>
      <c r="M3" s="8"/>
    </row>
    <row r="4" spans="1:13" x14ac:dyDescent="0.2">
      <c r="A4" s="9" t="s">
        <v>2</v>
      </c>
      <c r="B4" s="9"/>
      <c r="C4" s="10" t="s">
        <v>3</v>
      </c>
      <c r="D4" s="71" t="s">
        <v>4</v>
      </c>
      <c r="E4" s="71"/>
      <c r="F4" s="10" t="s">
        <v>5</v>
      </c>
      <c r="G4" s="11" t="s">
        <v>6</v>
      </c>
      <c r="H4" s="11" t="s">
        <v>7</v>
      </c>
      <c r="I4" s="10" t="s">
        <v>8</v>
      </c>
      <c r="J4" s="10" t="s">
        <v>9</v>
      </c>
      <c r="K4" s="10" t="s">
        <v>9</v>
      </c>
      <c r="L4" s="10" t="s">
        <v>9</v>
      </c>
      <c r="M4" s="10" t="s">
        <v>9</v>
      </c>
    </row>
    <row r="5" spans="1:13" x14ac:dyDescent="0.2">
      <c r="C5" s="12" t="s">
        <v>10</v>
      </c>
      <c r="D5" s="13" t="s">
        <v>11</v>
      </c>
      <c r="E5" s="13" t="s">
        <v>12</v>
      </c>
      <c r="F5" s="12" t="s">
        <v>13</v>
      </c>
      <c r="G5" s="12" t="s">
        <v>14</v>
      </c>
      <c r="H5" s="13" t="s">
        <v>15</v>
      </c>
      <c r="I5" s="13" t="s">
        <v>16</v>
      </c>
      <c r="J5" s="13" t="s">
        <v>17</v>
      </c>
      <c r="K5" s="13" t="s">
        <v>18</v>
      </c>
      <c r="L5" s="14" t="s">
        <v>19</v>
      </c>
      <c r="M5" s="15" t="s">
        <v>20</v>
      </c>
    </row>
    <row r="6" spans="1:13" x14ac:dyDescent="0.2">
      <c r="A6" s="8"/>
      <c r="B6" s="8"/>
      <c r="C6" s="8"/>
      <c r="D6" s="8"/>
      <c r="E6" s="8"/>
      <c r="F6" s="16" t="s">
        <v>21</v>
      </c>
      <c r="G6" s="17" t="s">
        <v>10</v>
      </c>
      <c r="H6" s="16" t="s">
        <v>21</v>
      </c>
      <c r="I6" s="18"/>
      <c r="J6" s="8"/>
      <c r="K6" s="8"/>
      <c r="L6" s="8"/>
      <c r="M6" s="8"/>
    </row>
    <row r="7" spans="1:13" x14ac:dyDescent="0.2">
      <c r="F7" s="12"/>
      <c r="G7" s="19"/>
      <c r="H7" s="12"/>
      <c r="I7" s="13"/>
    </row>
    <row r="8" spans="1:13" x14ac:dyDescent="0.2">
      <c r="A8" s="72" t="s">
        <v>22</v>
      </c>
      <c r="B8" s="72"/>
      <c r="C8" s="5">
        <v>1762505</v>
      </c>
      <c r="D8" s="20">
        <v>1.59</v>
      </c>
      <c r="E8" s="20">
        <v>0.97</v>
      </c>
      <c r="F8" s="5">
        <v>3343184</v>
      </c>
      <c r="G8" s="5">
        <f>+J8+K8+L8+M8</f>
        <v>3359295</v>
      </c>
      <c r="H8" s="21">
        <f t="shared" ref="H8:H33" si="0">G8-F8</f>
        <v>16111</v>
      </c>
      <c r="I8" s="5">
        <v>62881</v>
      </c>
      <c r="J8" s="5">
        <v>0</v>
      </c>
      <c r="K8" s="5">
        <f>134295+932630+537524</f>
        <v>1604449</v>
      </c>
      <c r="L8" s="5">
        <v>0</v>
      </c>
      <c r="M8" s="5">
        <v>1754846</v>
      </c>
    </row>
    <row r="9" spans="1:13" s="21" customFormat="1" x14ac:dyDescent="0.2">
      <c r="A9" s="1" t="s">
        <v>23</v>
      </c>
      <c r="B9" s="7"/>
      <c r="C9" s="5">
        <v>7732805</v>
      </c>
      <c r="D9" s="20">
        <v>1.07</v>
      </c>
      <c r="E9" s="20">
        <v>0.38</v>
      </c>
      <c r="F9" s="5">
        <v>22314545</v>
      </c>
      <c r="G9" s="21">
        <f t="shared" ref="G9:G34" si="1">+J9+K9+L9+M9</f>
        <v>26075552</v>
      </c>
      <c r="H9" s="21">
        <f t="shared" si="0"/>
        <v>3761007</v>
      </c>
      <c r="I9" s="5">
        <v>7883579</v>
      </c>
      <c r="J9" s="5">
        <v>0</v>
      </c>
      <c r="K9" s="5">
        <f>1557811+12665924+562371</f>
        <v>14786106</v>
      </c>
      <c r="L9" s="5">
        <v>26544</v>
      </c>
      <c r="M9" s="5">
        <v>11262902</v>
      </c>
    </row>
    <row r="10" spans="1:13" s="21" customFormat="1" x14ac:dyDescent="0.2">
      <c r="A10" s="1" t="s">
        <v>24</v>
      </c>
      <c r="B10" s="1"/>
      <c r="C10" s="5">
        <v>3202726</v>
      </c>
      <c r="D10" s="20">
        <v>3.13</v>
      </c>
      <c r="E10" s="20">
        <v>0.94</v>
      </c>
      <c r="F10" s="5">
        <v>10916034</v>
      </c>
      <c r="G10" s="21">
        <f t="shared" si="1"/>
        <v>11847144</v>
      </c>
      <c r="H10" s="21">
        <f t="shared" si="0"/>
        <v>931110</v>
      </c>
      <c r="I10" s="5">
        <v>697750</v>
      </c>
      <c r="J10" s="5">
        <v>0</v>
      </c>
      <c r="K10" s="5">
        <f>975567+7117+293499+6437883</f>
        <v>7714066</v>
      </c>
      <c r="L10" s="5">
        <v>27259</v>
      </c>
      <c r="M10" s="5">
        <v>4105819</v>
      </c>
    </row>
    <row r="11" spans="1:13" x14ac:dyDescent="0.2">
      <c r="A11" s="1" t="s">
        <v>25</v>
      </c>
      <c r="B11" s="1"/>
      <c r="C11" s="5">
        <v>1993177</v>
      </c>
      <c r="D11" s="20">
        <v>2.35</v>
      </c>
      <c r="E11" s="20">
        <v>0.11</v>
      </c>
      <c r="F11" s="5">
        <v>24504795</v>
      </c>
      <c r="G11" s="5">
        <f>+J11+K11+L11+M11</f>
        <v>32715986</v>
      </c>
      <c r="H11" s="21">
        <f>G11-F11</f>
        <v>8211191</v>
      </c>
      <c r="I11" s="5">
        <v>106380</v>
      </c>
      <c r="J11" s="5">
        <v>20293024</v>
      </c>
      <c r="K11" s="5">
        <f>323924+1894670</f>
        <v>2218594</v>
      </c>
      <c r="L11" s="5">
        <v>0</v>
      </c>
      <c r="M11" s="5">
        <v>10204368</v>
      </c>
    </row>
    <row r="12" spans="1:13" x14ac:dyDescent="0.2">
      <c r="A12" s="1" t="s">
        <v>26</v>
      </c>
      <c r="B12" s="1"/>
      <c r="C12" s="5">
        <v>4825778</v>
      </c>
      <c r="D12" s="20">
        <v>3.09</v>
      </c>
      <c r="E12" s="20">
        <v>0.54</v>
      </c>
      <c r="F12" s="5">
        <v>31866286</v>
      </c>
      <c r="G12" s="21">
        <f>+J12+K12+L12+M12</f>
        <v>38893103</v>
      </c>
      <c r="H12" s="21">
        <f>G12-F12</f>
        <v>7026817</v>
      </c>
      <c r="I12" s="5">
        <v>1013585</v>
      </c>
      <c r="J12" s="5">
        <v>17070967</v>
      </c>
      <c r="K12" s="5">
        <f>1457980+230162+4876779+3438234</f>
        <v>10003155</v>
      </c>
      <c r="L12" s="5">
        <v>0</v>
      </c>
      <c r="M12" s="5">
        <v>11818981</v>
      </c>
    </row>
    <row r="13" spans="1:13" x14ac:dyDescent="0.2">
      <c r="A13" s="73" t="s">
        <v>27</v>
      </c>
      <c r="B13" s="74"/>
      <c r="C13" s="5">
        <v>25685283</v>
      </c>
      <c r="D13" s="20">
        <v>13.95</v>
      </c>
      <c r="E13" s="20">
        <v>0.67</v>
      </c>
      <c r="F13" s="5">
        <v>378931057</v>
      </c>
      <c r="G13" s="5">
        <f>+J13+K13+L13+M13</f>
        <v>380648929</v>
      </c>
      <c r="H13" s="21">
        <f t="shared" si="0"/>
        <v>1717872</v>
      </c>
      <c r="I13" s="5">
        <v>4933609</v>
      </c>
      <c r="J13" s="5">
        <v>351215443</v>
      </c>
      <c r="K13" s="5">
        <f>554662+3193541</f>
        <v>3748203</v>
      </c>
      <c r="L13" s="5">
        <v>0</v>
      </c>
      <c r="M13" s="5">
        <v>25685283</v>
      </c>
    </row>
    <row r="14" spans="1:13" s="21" customFormat="1" x14ac:dyDescent="0.2">
      <c r="A14" s="1" t="s">
        <v>28</v>
      </c>
      <c r="B14" s="7"/>
      <c r="C14" s="5">
        <v>3508363</v>
      </c>
      <c r="D14" s="20">
        <v>2.25</v>
      </c>
      <c r="E14" s="20">
        <v>0.65</v>
      </c>
      <c r="F14" s="5">
        <v>12176402</v>
      </c>
      <c r="G14" s="21">
        <f>+J14+K14+L14+M14</f>
        <v>13827627</v>
      </c>
      <c r="H14" s="21">
        <f t="shared" si="0"/>
        <v>1651225</v>
      </c>
      <c r="I14" s="5">
        <v>127474</v>
      </c>
      <c r="J14" s="5">
        <v>0</v>
      </c>
      <c r="K14" s="5">
        <f>1491676+7176363</f>
        <v>8668039</v>
      </c>
      <c r="L14" s="5">
        <v>0</v>
      </c>
      <c r="M14" s="5">
        <v>5159588</v>
      </c>
    </row>
    <row r="15" spans="1:13" x14ac:dyDescent="0.2">
      <c r="A15" s="1" t="s">
        <v>29</v>
      </c>
      <c r="B15" s="7"/>
      <c r="C15" s="5">
        <v>35829519</v>
      </c>
      <c r="D15" s="20">
        <v>8.3699999999999992</v>
      </c>
      <c r="E15" s="20">
        <v>0.28999999999999998</v>
      </c>
      <c r="F15" s="5">
        <v>531362054</v>
      </c>
      <c r="G15" s="5">
        <f t="shared" si="1"/>
        <v>550515045</v>
      </c>
      <c r="H15" s="21">
        <f t="shared" si="0"/>
        <v>19152991</v>
      </c>
      <c r="I15" s="5">
        <v>1694545</v>
      </c>
      <c r="J15" s="5">
        <v>456424420</v>
      </c>
      <c r="K15" s="5">
        <f>9585103+29069408+502465+19104130</f>
        <v>58261106</v>
      </c>
      <c r="L15" s="5">
        <v>0</v>
      </c>
      <c r="M15" s="5">
        <v>35829519</v>
      </c>
    </row>
    <row r="16" spans="1:13" s="23" customFormat="1" x14ac:dyDescent="0.2">
      <c r="A16" s="1" t="s">
        <v>30</v>
      </c>
      <c r="B16" s="1"/>
      <c r="C16" s="21">
        <v>6799064</v>
      </c>
      <c r="D16" s="22">
        <v>5.75</v>
      </c>
      <c r="E16" s="22">
        <v>0.17</v>
      </c>
      <c r="F16" s="21">
        <v>97602800</v>
      </c>
      <c r="G16" s="21">
        <f t="shared" si="1"/>
        <v>107341909</v>
      </c>
      <c r="H16" s="21">
        <f t="shared" si="0"/>
        <v>9739109</v>
      </c>
      <c r="I16" s="21">
        <v>254258</v>
      </c>
      <c r="J16" s="21">
        <v>96003990</v>
      </c>
      <c r="K16" s="21">
        <f>1780901+1841045+916909</f>
        <v>4538855</v>
      </c>
      <c r="L16" s="21">
        <v>0</v>
      </c>
      <c r="M16" s="21">
        <v>6799064</v>
      </c>
    </row>
    <row r="17" spans="1:13" x14ac:dyDescent="0.2">
      <c r="A17" s="1" t="s">
        <v>31</v>
      </c>
      <c r="B17" s="7"/>
      <c r="C17" s="5">
        <v>18506099</v>
      </c>
      <c r="D17" s="20">
        <v>7.04</v>
      </c>
      <c r="E17" s="20">
        <v>0.15</v>
      </c>
      <c r="F17" s="5">
        <v>290231531</v>
      </c>
      <c r="G17" s="5">
        <f>+J17+K17+L17+M17</f>
        <v>309885801</v>
      </c>
      <c r="H17" s="21">
        <f t="shared" si="0"/>
        <v>19654270</v>
      </c>
      <c r="I17" s="5">
        <v>270173</v>
      </c>
      <c r="J17" s="5">
        <v>270438012</v>
      </c>
      <c r="K17" s="5">
        <f>26085+1261335</f>
        <v>1287420</v>
      </c>
      <c r="L17" s="5">
        <v>0</v>
      </c>
      <c r="M17" s="5">
        <v>38160369</v>
      </c>
    </row>
    <row r="18" spans="1:13" x14ac:dyDescent="0.2">
      <c r="A18" s="1" t="s">
        <v>32</v>
      </c>
      <c r="B18" s="1"/>
      <c r="C18" s="5">
        <v>101716180</v>
      </c>
      <c r="D18" s="20">
        <v>7.25</v>
      </c>
      <c r="E18" s="20">
        <v>0.51</v>
      </c>
      <c r="F18" s="5">
        <v>1432265154</v>
      </c>
      <c r="G18" s="5">
        <f t="shared" si="1"/>
        <v>1536806453</v>
      </c>
      <c r="H18" s="21">
        <f t="shared" si="0"/>
        <v>104541299</v>
      </c>
      <c r="I18" s="5">
        <v>27677662</v>
      </c>
      <c r="J18" s="5">
        <v>1232808684</v>
      </c>
      <c r="K18" s="5">
        <f>2933837+39020540+10063811+35290215</f>
        <v>87308403</v>
      </c>
      <c r="L18" s="5">
        <v>8989751</v>
      </c>
      <c r="M18" s="5">
        <v>207699615</v>
      </c>
    </row>
    <row r="19" spans="1:13" x14ac:dyDescent="0.2">
      <c r="A19" s="1" t="s">
        <v>33</v>
      </c>
      <c r="B19" s="1"/>
      <c r="C19" s="5">
        <v>50773601</v>
      </c>
      <c r="D19" s="20">
        <v>9.5</v>
      </c>
      <c r="E19" s="20">
        <v>0.1</v>
      </c>
      <c r="F19" s="5">
        <v>777343387</v>
      </c>
      <c r="G19" s="5">
        <f t="shared" si="1"/>
        <v>797503424</v>
      </c>
      <c r="H19" s="21">
        <f t="shared" si="0"/>
        <v>20160037</v>
      </c>
      <c r="I19" s="5">
        <v>4770395</v>
      </c>
      <c r="J19" s="5">
        <v>721233231</v>
      </c>
      <c r="K19" s="5">
        <f>1186903+22273205+9277+2019365</f>
        <v>25488750</v>
      </c>
      <c r="L19" s="5">
        <v>7842</v>
      </c>
      <c r="M19" s="5">
        <v>50773601</v>
      </c>
    </row>
    <row r="20" spans="1:13" x14ac:dyDescent="0.2">
      <c r="A20" s="1" t="s">
        <v>34</v>
      </c>
      <c r="B20" s="1"/>
      <c r="C20" s="5">
        <v>19473174</v>
      </c>
      <c r="D20" s="20">
        <v>7.93</v>
      </c>
      <c r="E20" s="20">
        <v>0.4</v>
      </c>
      <c r="F20" s="5">
        <v>254019669</v>
      </c>
      <c r="G20" s="5">
        <f t="shared" si="1"/>
        <v>266436906</v>
      </c>
      <c r="H20" s="21">
        <f t="shared" si="0"/>
        <v>12417237</v>
      </c>
      <c r="I20" s="5">
        <v>1955828</v>
      </c>
      <c r="J20" s="5">
        <v>229363475</v>
      </c>
      <c r="K20" s="5">
        <f>1814520+5324410+1012622+9448705</f>
        <v>17600257</v>
      </c>
      <c r="L20" s="5">
        <v>0</v>
      </c>
      <c r="M20" s="5">
        <v>19473174</v>
      </c>
    </row>
    <row r="21" spans="1:13" x14ac:dyDescent="0.2">
      <c r="A21" s="1" t="s">
        <v>35</v>
      </c>
      <c r="B21" s="1"/>
      <c r="C21" s="5">
        <v>20408910</v>
      </c>
      <c r="D21" s="20">
        <v>10.08</v>
      </c>
      <c r="E21" s="20">
        <v>0.27</v>
      </c>
      <c r="F21" s="5">
        <v>317018326</v>
      </c>
      <c r="G21" s="5">
        <f t="shared" si="1"/>
        <v>324703452</v>
      </c>
      <c r="H21" s="21">
        <f t="shared" si="0"/>
        <v>7685126</v>
      </c>
      <c r="I21" s="5">
        <v>2023646</v>
      </c>
      <c r="J21" s="5">
        <v>254426673</v>
      </c>
      <c r="K21" s="5">
        <f>2304970+11754606+12402361+20064295</f>
        <v>46526232</v>
      </c>
      <c r="L21" s="5">
        <v>65885</v>
      </c>
      <c r="M21" s="5">
        <v>23684662</v>
      </c>
    </row>
    <row r="22" spans="1:13" x14ac:dyDescent="0.2">
      <c r="A22" s="1" t="s">
        <v>36</v>
      </c>
      <c r="B22" s="1"/>
      <c r="C22" s="5">
        <v>1513874</v>
      </c>
      <c r="D22" s="20">
        <v>1.1599999999999999</v>
      </c>
      <c r="E22" s="20">
        <v>0.11</v>
      </c>
      <c r="F22" s="5">
        <v>4635594</v>
      </c>
      <c r="G22" s="5">
        <f t="shared" si="1"/>
        <v>6181002</v>
      </c>
      <c r="H22" s="21">
        <f t="shared" si="0"/>
        <v>1545408</v>
      </c>
      <c r="I22" s="5">
        <v>8011</v>
      </c>
      <c r="J22" s="5">
        <v>0</v>
      </c>
      <c r="K22" s="5">
        <f>26450+3095270</f>
        <v>3121720</v>
      </c>
      <c r="L22" s="5">
        <v>0</v>
      </c>
      <c r="M22" s="5">
        <v>3059282</v>
      </c>
    </row>
    <row r="23" spans="1:13" s="3" customFormat="1" x14ac:dyDescent="0.2">
      <c r="A23" s="1" t="s">
        <v>37</v>
      </c>
      <c r="B23" s="1"/>
      <c r="C23" s="5">
        <v>75196263</v>
      </c>
      <c r="D23" s="20">
        <v>8.02</v>
      </c>
      <c r="E23" s="20">
        <v>0.09</v>
      </c>
      <c r="F23" s="5">
        <v>1158543611</v>
      </c>
      <c r="G23" s="21">
        <f t="shared" si="1"/>
        <v>1185958097</v>
      </c>
      <c r="H23" s="21">
        <f t="shared" si="0"/>
        <v>27414486</v>
      </c>
      <c r="I23" s="5">
        <v>8516054</v>
      </c>
      <c r="J23" s="5">
        <v>999975807</v>
      </c>
      <c r="K23" s="5">
        <f>3534292+39690888+11524218+29695111</f>
        <v>84444509</v>
      </c>
      <c r="L23" s="5">
        <v>115905</v>
      </c>
      <c r="M23" s="5">
        <v>101421876</v>
      </c>
    </row>
    <row r="24" spans="1:13" s="3" customFormat="1" x14ac:dyDescent="0.2">
      <c r="A24" s="1" t="s">
        <v>38</v>
      </c>
      <c r="B24" s="1"/>
      <c r="C24" s="5">
        <v>9579656</v>
      </c>
      <c r="D24" s="20">
        <v>2.64</v>
      </c>
      <c r="E24" s="20">
        <v>0.24</v>
      </c>
      <c r="F24" s="5">
        <v>111627618</v>
      </c>
      <c r="G24" s="21">
        <f t="shared" si="1"/>
        <v>127585228</v>
      </c>
      <c r="H24" s="21">
        <f>G24-F24</f>
        <v>15957610</v>
      </c>
      <c r="I24" s="5">
        <v>11320854</v>
      </c>
      <c r="J24" s="5">
        <v>33024214</v>
      </c>
      <c r="K24" s="5">
        <f>3356737+41490999+125118+24907164</f>
        <v>69880018</v>
      </c>
      <c r="L24" s="5">
        <v>66116</v>
      </c>
      <c r="M24" s="5">
        <v>24614880</v>
      </c>
    </row>
    <row r="25" spans="1:13" x14ac:dyDescent="0.2">
      <c r="A25" s="1" t="s">
        <v>39</v>
      </c>
      <c r="B25" s="7"/>
      <c r="C25" s="5">
        <v>24756445</v>
      </c>
      <c r="D25" s="20">
        <v>11.61</v>
      </c>
      <c r="E25" s="20">
        <v>0.04</v>
      </c>
      <c r="F25" s="5">
        <v>394806887</v>
      </c>
      <c r="G25" s="5">
        <f t="shared" si="1"/>
        <v>400847585</v>
      </c>
      <c r="H25" s="21">
        <f>G25-F25</f>
        <v>6040698</v>
      </c>
      <c r="I25" s="5">
        <v>240533</v>
      </c>
      <c r="J25" s="5">
        <v>344623502</v>
      </c>
      <c r="K25" s="5">
        <v>25426940</v>
      </c>
      <c r="L25" s="5">
        <v>0</v>
      </c>
      <c r="M25" s="5">
        <v>30797143</v>
      </c>
    </row>
    <row r="26" spans="1:13" s="21" customFormat="1" x14ac:dyDescent="0.2">
      <c r="A26" s="1" t="s">
        <v>40</v>
      </c>
      <c r="B26" s="1"/>
      <c r="C26" s="5">
        <v>2076791</v>
      </c>
      <c r="D26" s="20">
        <v>3.31</v>
      </c>
      <c r="E26" s="20">
        <v>0.53</v>
      </c>
      <c r="F26" s="5">
        <v>13072552</v>
      </c>
      <c r="G26" s="21">
        <f t="shared" si="1"/>
        <v>14017214</v>
      </c>
      <c r="H26" s="21">
        <f t="shared" ref="H26:H32" si="2">G26-F26</f>
        <v>944662</v>
      </c>
      <c r="I26" s="5">
        <v>33079</v>
      </c>
      <c r="J26" s="5">
        <v>9365502</v>
      </c>
      <c r="K26" s="5">
        <f>1212650+233289+177606</f>
        <v>1623545</v>
      </c>
      <c r="L26" s="5">
        <v>10318</v>
      </c>
      <c r="M26" s="5">
        <v>3017849</v>
      </c>
    </row>
    <row r="27" spans="1:13" s="21" customFormat="1" x14ac:dyDescent="0.2">
      <c r="A27" s="1" t="s">
        <v>41</v>
      </c>
      <c r="B27" s="1"/>
      <c r="C27" s="5">
        <v>58451654</v>
      </c>
      <c r="D27" s="20">
        <v>8.15</v>
      </c>
      <c r="E27" s="20">
        <v>0.28999999999999998</v>
      </c>
      <c r="F27" s="5">
        <v>893433605</v>
      </c>
      <c r="G27" s="21">
        <f t="shared" si="1"/>
        <v>907964214</v>
      </c>
      <c r="H27" s="21">
        <f t="shared" si="2"/>
        <v>14530609</v>
      </c>
      <c r="I27" s="5">
        <v>10696790</v>
      </c>
      <c r="J27" s="5">
        <v>825192838</v>
      </c>
      <c r="K27" s="5">
        <f>986346+4533357+509204+17980860</f>
        <v>24009767</v>
      </c>
      <c r="L27" s="5">
        <v>309955</v>
      </c>
      <c r="M27" s="5">
        <v>58451654</v>
      </c>
    </row>
    <row r="28" spans="1:13" x14ac:dyDescent="0.2">
      <c r="A28" s="1" t="s">
        <v>42</v>
      </c>
      <c r="B28" s="1"/>
      <c r="C28" s="5">
        <v>15946240</v>
      </c>
      <c r="D28" s="20">
        <v>11.92</v>
      </c>
      <c r="E28" s="20">
        <v>0.16</v>
      </c>
      <c r="F28" s="5">
        <v>250114554</v>
      </c>
      <c r="G28" s="5">
        <f t="shared" si="1"/>
        <v>256594903</v>
      </c>
      <c r="H28" s="21">
        <f t="shared" si="2"/>
        <v>6480349</v>
      </c>
      <c r="I28" s="5">
        <v>140151</v>
      </c>
      <c r="J28" s="5">
        <v>231112074</v>
      </c>
      <c r="K28" s="5">
        <f>362258+2693982</f>
        <v>3056240</v>
      </c>
      <c r="L28" s="5">
        <v>0</v>
      </c>
      <c r="M28" s="5">
        <v>22426589</v>
      </c>
    </row>
    <row r="29" spans="1:13" s="21" customFormat="1" x14ac:dyDescent="0.2">
      <c r="A29" s="1" t="s">
        <v>43</v>
      </c>
      <c r="B29" s="7"/>
      <c r="C29" s="5">
        <v>29647662</v>
      </c>
      <c r="D29" s="20">
        <v>8.34</v>
      </c>
      <c r="E29" s="20">
        <v>0.21</v>
      </c>
      <c r="F29" s="5">
        <v>454822707</v>
      </c>
      <c r="G29" s="21">
        <f>+J29+K29+L29+M29</f>
        <v>470841012</v>
      </c>
      <c r="H29" s="21">
        <f>G29-F29</f>
        <v>16018305</v>
      </c>
      <c r="I29" s="5">
        <v>7807482</v>
      </c>
      <c r="J29" s="5">
        <v>416828764</v>
      </c>
      <c r="K29" s="5">
        <f>307994+1690685+7304007</f>
        <v>9302686</v>
      </c>
      <c r="L29" s="5">
        <v>11116</v>
      </c>
      <c r="M29" s="5">
        <v>44698446</v>
      </c>
    </row>
    <row r="30" spans="1:13" s="21" customFormat="1" x14ac:dyDescent="0.2">
      <c r="A30" s="1" t="s">
        <v>44</v>
      </c>
      <c r="B30" s="7"/>
      <c r="C30" s="5">
        <v>53356284</v>
      </c>
      <c r="D30" s="20">
        <v>12.09</v>
      </c>
      <c r="E30" s="20">
        <v>0.4</v>
      </c>
      <c r="F30" s="5">
        <v>823395616</v>
      </c>
      <c r="G30" s="21">
        <f t="shared" si="1"/>
        <v>836046196</v>
      </c>
      <c r="H30" s="21">
        <f t="shared" si="2"/>
        <v>12650580</v>
      </c>
      <c r="I30" s="5">
        <v>5010415</v>
      </c>
      <c r="J30" s="5">
        <v>765380429</v>
      </c>
      <c r="K30" s="5">
        <f>632462+3105174+229661+747067</f>
        <v>4714364</v>
      </c>
      <c r="L30" s="5">
        <v>0</v>
      </c>
      <c r="M30" s="5">
        <v>65951403</v>
      </c>
    </row>
    <row r="31" spans="1:13" x14ac:dyDescent="0.2">
      <c r="A31" s="1" t="s">
        <v>45</v>
      </c>
      <c r="B31" s="1"/>
      <c r="C31" s="5">
        <v>16207892</v>
      </c>
      <c r="D31" s="20">
        <v>8.31</v>
      </c>
      <c r="E31" s="20">
        <v>0.11</v>
      </c>
      <c r="F31" s="5">
        <v>256328602</v>
      </c>
      <c r="G31" s="5">
        <f t="shared" si="1"/>
        <v>262462807</v>
      </c>
      <c r="H31" s="21">
        <f t="shared" si="2"/>
        <v>6134205</v>
      </c>
      <c r="I31" s="5">
        <v>7478320</v>
      </c>
      <c r="J31" s="5">
        <v>238652821</v>
      </c>
      <c r="K31" s="5">
        <f>1071142+185208+295386</f>
        <v>1551736</v>
      </c>
      <c r="L31" s="5">
        <v>1430</v>
      </c>
      <c r="M31" s="5">
        <v>22256820</v>
      </c>
    </row>
    <row r="32" spans="1:13" s="21" customFormat="1" x14ac:dyDescent="0.2">
      <c r="A32" s="1" t="s">
        <v>46</v>
      </c>
      <c r="B32" s="1"/>
      <c r="C32" s="5">
        <v>4979393</v>
      </c>
      <c r="D32" s="20">
        <v>5.71</v>
      </c>
      <c r="E32" s="20">
        <v>0.43</v>
      </c>
      <c r="F32" s="5">
        <v>52447306</v>
      </c>
      <c r="G32" s="5">
        <f t="shared" si="1"/>
        <v>54325813</v>
      </c>
      <c r="H32" s="21">
        <f t="shared" si="2"/>
        <v>1878507</v>
      </c>
      <c r="I32" s="5">
        <v>581103</v>
      </c>
      <c r="J32" s="5">
        <v>38482845</v>
      </c>
      <c r="K32" s="5">
        <f>1256808+2601374+2477207+2377513</f>
        <v>8712902</v>
      </c>
      <c r="L32" s="5">
        <v>293444</v>
      </c>
      <c r="M32" s="5">
        <v>6836622</v>
      </c>
    </row>
    <row r="33" spans="1:13" x14ac:dyDescent="0.2">
      <c r="A33" s="1" t="s">
        <v>47</v>
      </c>
      <c r="B33" s="1"/>
      <c r="C33" s="5">
        <v>47283632</v>
      </c>
      <c r="D33" s="20">
        <v>9.93</v>
      </c>
      <c r="E33" s="20">
        <v>0.1</v>
      </c>
      <c r="F33" s="5">
        <v>735563344</v>
      </c>
      <c r="G33" s="21">
        <f t="shared" si="1"/>
        <v>751331733</v>
      </c>
      <c r="H33" s="21">
        <f t="shared" si="0"/>
        <v>15768389</v>
      </c>
      <c r="I33" s="5">
        <v>2109786</v>
      </c>
      <c r="J33" s="5">
        <v>675076519</v>
      </c>
      <c r="K33" s="5">
        <f>581106+6047890+1280377+5320846</f>
        <v>13230219</v>
      </c>
      <c r="L33" s="5">
        <v>0</v>
      </c>
      <c r="M33" s="5">
        <v>63024995</v>
      </c>
    </row>
    <row r="34" spans="1:13" x14ac:dyDescent="0.2">
      <c r="A34" s="1" t="s">
        <v>48</v>
      </c>
      <c r="B34" s="1"/>
      <c r="C34" s="5">
        <v>2453238</v>
      </c>
      <c r="D34" s="20">
        <v>7.71</v>
      </c>
      <c r="E34" s="20">
        <v>0.02</v>
      </c>
      <c r="F34" s="5">
        <v>39145930</v>
      </c>
      <c r="G34" s="5">
        <f t="shared" si="1"/>
        <v>40889816</v>
      </c>
      <c r="H34" s="21">
        <f>G34-F34</f>
        <v>1743886</v>
      </c>
      <c r="I34" s="5">
        <v>204871</v>
      </c>
      <c r="J34" s="5">
        <v>36692692</v>
      </c>
      <c r="K34" s="5">
        <v>0</v>
      </c>
      <c r="L34" s="5">
        <v>0</v>
      </c>
      <c r="M34" s="5">
        <v>4197124</v>
      </c>
    </row>
    <row r="35" spans="1:13" x14ac:dyDescent="0.2">
      <c r="A35" s="24" t="s">
        <v>49</v>
      </c>
      <c r="B35" s="24"/>
      <c r="C35" s="25">
        <f>SUM(C8:C34)</f>
        <v>643666208</v>
      </c>
      <c r="D35" s="26"/>
      <c r="E35" s="26"/>
      <c r="F35" s="25">
        <f t="shared" ref="F35:K35" si="3">SUM(F8:F34)</f>
        <v>9371833150</v>
      </c>
      <c r="G35" s="25">
        <f t="shared" si="3"/>
        <v>9715606246</v>
      </c>
      <c r="H35" s="25">
        <f t="shared" si="3"/>
        <v>343773096</v>
      </c>
      <c r="I35" s="25">
        <f t="shared" si="3"/>
        <v>107619214</v>
      </c>
      <c r="J35" s="25">
        <f t="shared" si="3"/>
        <v>8263685926</v>
      </c>
      <c r="K35" s="25">
        <f t="shared" si="3"/>
        <v>538828281</v>
      </c>
      <c r="L35" s="25">
        <f>SUM(L8:L34)</f>
        <v>9925565</v>
      </c>
      <c r="M35" s="25">
        <f>SUM(M8:M34)</f>
        <v>903166474</v>
      </c>
    </row>
    <row r="36" spans="1:13" x14ac:dyDescent="0.2">
      <c r="A36" s="27"/>
      <c r="B36" s="27"/>
      <c r="D36" s="20"/>
      <c r="E36" s="20"/>
      <c r="M36" s="28"/>
    </row>
    <row r="37" spans="1:13" s="21" customFormat="1" x14ac:dyDescent="0.2">
      <c r="A37" s="1" t="s">
        <v>50</v>
      </c>
      <c r="B37" s="7"/>
      <c r="C37" s="5">
        <v>4180276</v>
      </c>
      <c r="D37" s="20">
        <v>2.46</v>
      </c>
      <c r="E37" s="20">
        <v>0.25</v>
      </c>
      <c r="F37" s="5">
        <v>41355906</v>
      </c>
      <c r="G37" s="5">
        <f>+J37+K37+L37+M37</f>
        <v>48182745</v>
      </c>
      <c r="H37" s="29">
        <f>G37-F37</f>
        <v>6826839</v>
      </c>
      <c r="I37" s="8">
        <v>8511136</v>
      </c>
      <c r="J37" s="5">
        <v>36819243</v>
      </c>
      <c r="K37" s="5">
        <f>276330+80057</f>
        <v>356387</v>
      </c>
      <c r="L37" s="5">
        <v>0</v>
      </c>
      <c r="M37" s="5">
        <v>11007115</v>
      </c>
    </row>
    <row r="38" spans="1:13" x14ac:dyDescent="0.2">
      <c r="A38" s="30" t="s">
        <v>51</v>
      </c>
      <c r="B38" s="30"/>
      <c r="C38" s="25">
        <f>SUM(C37:C37)</f>
        <v>4180276</v>
      </c>
      <c r="D38" s="26"/>
      <c r="E38" s="26"/>
      <c r="F38" s="25">
        <f t="shared" ref="F38:M38" si="4">SUM(F37:F37)</f>
        <v>41355906</v>
      </c>
      <c r="G38" s="25">
        <f t="shared" si="4"/>
        <v>48182745</v>
      </c>
      <c r="H38" s="25">
        <f t="shared" si="4"/>
        <v>6826839</v>
      </c>
      <c r="I38" s="25">
        <v>8511136</v>
      </c>
      <c r="J38" s="31">
        <f t="shared" si="4"/>
        <v>36819243</v>
      </c>
      <c r="K38" s="31">
        <f t="shared" si="4"/>
        <v>356387</v>
      </c>
      <c r="L38" s="25">
        <f t="shared" si="4"/>
        <v>0</v>
      </c>
      <c r="M38" s="25">
        <f t="shared" si="4"/>
        <v>11007115</v>
      </c>
    </row>
    <row r="39" spans="1:13" x14ac:dyDescent="0.2">
      <c r="D39" s="20"/>
      <c r="E39" s="20"/>
      <c r="I39" s="21"/>
      <c r="J39" s="21"/>
      <c r="K39" s="21"/>
      <c r="M39" s="28"/>
    </row>
    <row r="40" spans="1:13" x14ac:dyDescent="0.2">
      <c r="A40" s="32" t="s">
        <v>11</v>
      </c>
      <c r="B40" s="32"/>
      <c r="C40" s="8">
        <f>C35+C38</f>
        <v>647846484</v>
      </c>
      <c r="D40" s="33"/>
      <c r="E40" s="33"/>
      <c r="F40" s="8">
        <f t="shared" ref="F40:M40" si="5">F35+F38</f>
        <v>9413189056</v>
      </c>
      <c r="G40" s="8">
        <f t="shared" si="5"/>
        <v>9763788991</v>
      </c>
      <c r="H40" s="8">
        <f t="shared" si="5"/>
        <v>350599935</v>
      </c>
      <c r="I40" s="29">
        <f t="shared" si="5"/>
        <v>116130350</v>
      </c>
      <c r="J40" s="29">
        <f>J35+J38</f>
        <v>8300505169</v>
      </c>
      <c r="K40" s="29">
        <f t="shared" si="5"/>
        <v>539184668</v>
      </c>
      <c r="L40" s="8">
        <f t="shared" si="5"/>
        <v>9925565</v>
      </c>
      <c r="M40" s="8">
        <f t="shared" si="5"/>
        <v>914173589</v>
      </c>
    </row>
    <row r="41" spans="1:13" ht="15.75" customHeight="1" x14ac:dyDescent="0.2">
      <c r="A41" s="34"/>
      <c r="B41" s="35"/>
      <c r="C41" s="35"/>
      <c r="D41" s="35"/>
      <c r="E41" s="35"/>
      <c r="F41" s="35"/>
      <c r="G41" s="35"/>
      <c r="H41" s="35"/>
      <c r="I41" s="35"/>
      <c r="J41" s="35"/>
      <c r="K41" s="35"/>
      <c r="L41" s="35"/>
      <c r="M41" s="35"/>
    </row>
    <row r="42" spans="1:13" ht="15" customHeight="1" x14ac:dyDescent="0.2">
      <c r="A42" s="34"/>
      <c r="B42" s="36"/>
      <c r="C42" s="36"/>
      <c r="D42" s="36"/>
      <c r="E42" s="36"/>
      <c r="F42" s="36"/>
      <c r="G42" s="36"/>
      <c r="H42" s="36"/>
      <c r="I42" s="36"/>
      <c r="J42" s="36"/>
      <c r="K42" s="36"/>
      <c r="L42" s="36"/>
      <c r="M42" s="37"/>
    </row>
    <row r="43" spans="1:13" ht="12.75" customHeight="1" x14ac:dyDescent="0.2">
      <c r="A43" s="39" t="s">
        <v>53</v>
      </c>
      <c r="B43" s="40"/>
      <c r="C43" s="40"/>
      <c r="D43" s="40"/>
      <c r="E43" s="40"/>
      <c r="F43" s="40"/>
      <c r="G43" s="40"/>
      <c r="H43" s="40"/>
      <c r="I43" s="40"/>
      <c r="J43" s="40"/>
      <c r="K43" s="40"/>
      <c r="L43" s="36"/>
      <c r="M43" s="37"/>
    </row>
    <row r="44" spans="1:13" ht="12.75" customHeight="1" x14ac:dyDescent="0.2">
      <c r="A44" s="41" t="s">
        <v>1</v>
      </c>
      <c r="B44" s="40"/>
      <c r="C44" s="40"/>
      <c r="D44" s="40"/>
      <c r="E44" s="40"/>
      <c r="F44" s="40"/>
      <c r="G44" s="40"/>
      <c r="H44" s="40"/>
      <c r="I44" s="40"/>
      <c r="J44" s="40"/>
      <c r="K44" s="40"/>
      <c r="L44" s="36"/>
      <c r="M44" s="37"/>
    </row>
    <row r="45" spans="1:13" x14ac:dyDescent="0.2">
      <c r="A45" s="40"/>
      <c r="B45" s="40"/>
      <c r="C45" s="40"/>
      <c r="D45" s="40"/>
      <c r="E45" s="40"/>
      <c r="F45" s="40"/>
      <c r="G45" s="40"/>
      <c r="H45" s="40"/>
      <c r="I45" s="40"/>
      <c r="J45" s="40"/>
      <c r="K45" s="40"/>
    </row>
    <row r="46" spans="1:13" x14ac:dyDescent="0.2">
      <c r="A46" s="40" t="s">
        <v>54</v>
      </c>
      <c r="B46" s="40"/>
      <c r="C46" s="40"/>
      <c r="D46" s="40"/>
      <c r="E46" s="40"/>
      <c r="F46" s="40"/>
      <c r="G46" s="40"/>
      <c r="H46" s="40"/>
      <c r="I46" s="40"/>
      <c r="J46" s="40"/>
      <c r="K46" s="40"/>
    </row>
    <row r="47" spans="1:13" x14ac:dyDescent="0.2">
      <c r="A47" s="9" t="s">
        <v>2</v>
      </c>
      <c r="B47" s="42"/>
      <c r="C47" s="42"/>
      <c r="D47" s="24" t="s">
        <v>55</v>
      </c>
      <c r="E47" s="43"/>
      <c r="F47" s="44" t="s">
        <v>56</v>
      </c>
      <c r="G47" s="44" t="s">
        <v>9</v>
      </c>
      <c r="H47" s="45" t="s">
        <v>57</v>
      </c>
      <c r="I47" s="44" t="s">
        <v>56</v>
      </c>
      <c r="J47" s="44" t="s">
        <v>9</v>
      </c>
      <c r="K47" s="45" t="s">
        <v>57</v>
      </c>
    </row>
    <row r="48" spans="1:13" x14ac:dyDescent="0.2">
      <c r="A48" s="46"/>
      <c r="B48" s="46"/>
      <c r="C48" s="46"/>
      <c r="D48" s="13" t="s">
        <v>11</v>
      </c>
      <c r="E48" s="13" t="s">
        <v>12</v>
      </c>
      <c r="F48" s="47" t="s">
        <v>58</v>
      </c>
      <c r="G48" s="47" t="s">
        <v>59</v>
      </c>
      <c r="H48" s="47" t="s">
        <v>60</v>
      </c>
      <c r="I48" s="47" t="s">
        <v>61</v>
      </c>
      <c r="J48" s="47" t="s">
        <v>59</v>
      </c>
      <c r="K48" s="47" t="s">
        <v>60</v>
      </c>
    </row>
    <row r="49" spans="1:11" x14ac:dyDescent="0.2">
      <c r="A49" s="48"/>
      <c r="B49" s="48"/>
      <c r="C49" s="48"/>
      <c r="D49" s="48"/>
      <c r="E49" s="48"/>
      <c r="F49" s="49" t="s">
        <v>62</v>
      </c>
      <c r="G49" s="49" t="s">
        <v>63</v>
      </c>
      <c r="H49" s="49" t="s">
        <v>63</v>
      </c>
      <c r="I49" s="49" t="s">
        <v>3</v>
      </c>
      <c r="J49" s="50" t="s">
        <v>64</v>
      </c>
      <c r="K49" s="50" t="s">
        <v>64</v>
      </c>
    </row>
    <row r="50" spans="1:11" x14ac:dyDescent="0.2">
      <c r="A50" s="46"/>
      <c r="B50" s="46"/>
      <c r="C50" s="46"/>
      <c r="D50" s="51"/>
      <c r="E50" s="51"/>
      <c r="F50" s="52"/>
      <c r="G50" s="52"/>
      <c r="H50" s="52"/>
      <c r="I50" s="52"/>
      <c r="J50" s="19"/>
      <c r="K50" s="19"/>
    </row>
    <row r="51" spans="1:11" x14ac:dyDescent="0.2">
      <c r="A51" s="53" t="s">
        <v>65</v>
      </c>
      <c r="B51" s="54"/>
      <c r="C51" s="54"/>
      <c r="D51" s="55">
        <v>0.98</v>
      </c>
      <c r="E51" s="56">
        <v>2E-3</v>
      </c>
      <c r="F51" s="57">
        <v>49856827</v>
      </c>
      <c r="G51" s="57">
        <v>49856827</v>
      </c>
      <c r="H51" s="57">
        <f>G51-F51</f>
        <v>0</v>
      </c>
      <c r="I51" s="57">
        <v>50953724</v>
      </c>
      <c r="J51" s="57">
        <v>51034805</v>
      </c>
      <c r="K51" s="57">
        <f>J51-I51</f>
        <v>81081</v>
      </c>
    </row>
    <row r="52" spans="1:11" x14ac:dyDescent="0.2">
      <c r="A52" s="58" t="s">
        <v>66</v>
      </c>
      <c r="B52" s="54"/>
      <c r="C52" s="54"/>
      <c r="D52" s="55">
        <v>0.56000000000000005</v>
      </c>
      <c r="E52" s="55">
        <v>0.05</v>
      </c>
      <c r="F52" s="57">
        <v>15877800</v>
      </c>
      <c r="G52" s="57">
        <v>15877800</v>
      </c>
      <c r="H52" s="57">
        <f>G52-F52</f>
        <v>0</v>
      </c>
      <c r="I52" s="57">
        <v>30686668</v>
      </c>
      <c r="J52" s="57">
        <v>31961543</v>
      </c>
      <c r="K52" s="57">
        <f>J52-I52</f>
        <v>1274875</v>
      </c>
    </row>
    <row r="53" spans="1:11" x14ac:dyDescent="0.2">
      <c r="A53" s="46"/>
      <c r="B53" s="46"/>
      <c r="C53" s="46"/>
      <c r="D53" s="59"/>
      <c r="E53" s="51"/>
      <c r="F53" s="57"/>
      <c r="G53" s="57"/>
      <c r="H53" s="57"/>
      <c r="I53" s="57"/>
      <c r="J53" s="57"/>
      <c r="K53" s="57"/>
    </row>
    <row r="54" spans="1:11" x14ac:dyDescent="0.2">
      <c r="A54" s="40"/>
      <c r="B54" s="40"/>
      <c r="C54" s="40"/>
      <c r="D54" s="60"/>
      <c r="E54" s="60"/>
      <c r="F54" s="61"/>
      <c r="G54" s="61"/>
      <c r="H54" s="61"/>
      <c r="I54" s="61"/>
      <c r="J54" s="61"/>
      <c r="K54" s="61"/>
    </row>
    <row r="55" spans="1:11" x14ac:dyDescent="0.2">
      <c r="A55" s="62" t="s">
        <v>67</v>
      </c>
      <c r="B55" s="40"/>
      <c r="C55" s="40"/>
      <c r="D55" s="60"/>
      <c r="E55" s="60"/>
      <c r="F55" s="61"/>
      <c r="G55" s="61"/>
      <c r="H55" s="61"/>
      <c r="I55" s="61"/>
      <c r="J55" s="61"/>
      <c r="K55" s="61"/>
    </row>
    <row r="56" spans="1:11" x14ac:dyDescent="0.2">
      <c r="A56" s="9" t="s">
        <v>2</v>
      </c>
      <c r="B56" s="42"/>
      <c r="C56" s="42"/>
      <c r="D56" s="24" t="s">
        <v>55</v>
      </c>
      <c r="E56" s="63"/>
      <c r="F56" s="11" t="s">
        <v>5</v>
      </c>
      <c r="G56" s="11" t="s">
        <v>5</v>
      </c>
      <c r="H56" s="10" t="s">
        <v>9</v>
      </c>
      <c r="I56" s="10" t="s">
        <v>68</v>
      </c>
      <c r="J56" s="57"/>
      <c r="K56" s="57"/>
    </row>
    <row r="57" spans="1:11" x14ac:dyDescent="0.2">
      <c r="A57" s="46"/>
      <c r="B57" s="46"/>
      <c r="C57" s="46"/>
      <c r="D57" s="13" t="s">
        <v>11</v>
      </c>
      <c r="E57" s="13" t="s">
        <v>12</v>
      </c>
      <c r="F57" s="12" t="s">
        <v>69</v>
      </c>
      <c r="G57" s="12" t="s">
        <v>69</v>
      </c>
      <c r="H57" s="13" t="s">
        <v>70</v>
      </c>
      <c r="I57" s="13" t="s">
        <v>60</v>
      </c>
      <c r="J57" s="57"/>
      <c r="K57" s="57"/>
    </row>
    <row r="58" spans="1:11" x14ac:dyDescent="0.2">
      <c r="A58" s="46"/>
      <c r="B58" s="46"/>
      <c r="C58" s="46"/>
      <c r="D58" s="51"/>
      <c r="E58" s="51"/>
      <c r="F58" s="12" t="s">
        <v>71</v>
      </c>
      <c r="G58" s="13" t="s">
        <v>72</v>
      </c>
      <c r="H58" s="12" t="s">
        <v>73</v>
      </c>
      <c r="I58" s="13" t="s">
        <v>74</v>
      </c>
      <c r="J58" s="57"/>
      <c r="K58" s="57"/>
    </row>
    <row r="59" spans="1:11" x14ac:dyDescent="0.2">
      <c r="A59" s="48"/>
      <c r="B59" s="48"/>
      <c r="C59" s="48"/>
      <c r="D59" s="64"/>
      <c r="E59" s="64"/>
      <c r="F59" s="18" t="s">
        <v>75</v>
      </c>
      <c r="G59" s="18" t="s">
        <v>76</v>
      </c>
      <c r="H59" s="18" t="s">
        <v>77</v>
      </c>
      <c r="I59" s="18" t="s">
        <v>77</v>
      </c>
      <c r="J59" s="57"/>
      <c r="K59" s="57"/>
    </row>
    <row r="60" spans="1:11" x14ac:dyDescent="0.2">
      <c r="A60" s="46"/>
      <c r="B60" s="46"/>
      <c r="C60" s="40"/>
      <c r="D60" s="60"/>
      <c r="E60" s="60"/>
      <c r="F60" s="61"/>
      <c r="G60" s="61"/>
      <c r="H60" s="61"/>
      <c r="I60" s="61"/>
      <c r="J60" s="61"/>
      <c r="K60" s="61"/>
    </row>
    <row r="61" spans="1:11" x14ac:dyDescent="0.2">
      <c r="A61" s="54" t="s">
        <v>78</v>
      </c>
      <c r="B61" s="46"/>
      <c r="C61" s="46"/>
      <c r="D61" s="55">
        <v>2.57</v>
      </c>
      <c r="E61" s="56">
        <v>3.5000000000000003E-2</v>
      </c>
      <c r="F61" s="57">
        <v>45487717</v>
      </c>
      <c r="G61" s="57">
        <v>21333905</v>
      </c>
      <c r="H61" s="57">
        <v>67366805</v>
      </c>
      <c r="I61" s="57">
        <f>+H61-G61-F61</f>
        <v>545183</v>
      </c>
      <c r="J61" s="57"/>
      <c r="K61" s="57"/>
    </row>
    <row r="62" spans="1:11" x14ac:dyDescent="0.2">
      <c r="A62" s="40"/>
      <c r="B62" s="40"/>
      <c r="C62" s="40"/>
      <c r="D62" s="60"/>
      <c r="E62" s="60"/>
      <c r="F62" s="61"/>
      <c r="G62" s="61"/>
      <c r="H62" s="61"/>
      <c r="I62" s="61"/>
      <c r="J62" s="61"/>
      <c r="K62" s="61"/>
    </row>
    <row r="63" spans="1:11" x14ac:dyDescent="0.2">
      <c r="A63" s="40"/>
      <c r="B63" s="40"/>
      <c r="C63" s="40"/>
      <c r="D63" s="60"/>
      <c r="E63" s="60"/>
      <c r="F63" s="61"/>
      <c r="G63" s="61"/>
      <c r="H63" s="61"/>
      <c r="I63" s="61"/>
      <c r="J63" s="61"/>
      <c r="K63" s="61"/>
    </row>
    <row r="64" spans="1:11" x14ac:dyDescent="0.2">
      <c r="A64" s="40"/>
      <c r="B64" s="40"/>
      <c r="C64" s="40"/>
      <c r="D64" s="40"/>
      <c r="E64" s="40"/>
      <c r="F64" s="40"/>
      <c r="G64" s="40"/>
      <c r="H64" s="40"/>
      <c r="I64" s="40"/>
      <c r="J64" s="40"/>
      <c r="K64" s="40"/>
    </row>
    <row r="65" spans="1:11" x14ac:dyDescent="0.2">
      <c r="A65" s="40"/>
      <c r="B65" s="65"/>
      <c r="C65" s="65"/>
      <c r="D65" s="65"/>
      <c r="E65" s="65"/>
      <c r="F65" s="65"/>
      <c r="G65" s="65"/>
      <c r="H65" s="65"/>
      <c r="I65" s="65"/>
      <c r="J65" s="65"/>
      <c r="K65" s="65"/>
    </row>
  </sheetData>
  <mergeCells count="3">
    <mergeCell ref="D4:E4"/>
    <mergeCell ref="A8:B8"/>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workbookViewId="0"/>
  </sheetViews>
  <sheetFormatPr baseColWidth="10" defaultRowHeight="12.75" x14ac:dyDescent="0.2"/>
  <cols>
    <col min="1" max="1" width="2.5703125" style="5" customWidth="1"/>
    <col min="2" max="2" width="22.42578125" style="5" customWidth="1"/>
    <col min="3" max="3" width="12.140625" style="5" bestFit="1" customWidth="1"/>
    <col min="4" max="4" width="8.140625" style="5" customWidth="1"/>
    <col min="5" max="5" width="8.5703125" style="5" customWidth="1"/>
    <col min="6" max="6" width="17" style="5" bestFit="1" customWidth="1"/>
    <col min="7" max="7" width="16.7109375" style="5" bestFit="1" customWidth="1"/>
    <col min="8" max="8" width="18" style="5" bestFit="1" customWidth="1"/>
    <col min="9" max="9" width="17.7109375" style="5" bestFit="1" customWidth="1"/>
    <col min="10" max="10" width="13.5703125" style="5" customWidth="1"/>
    <col min="11" max="11" width="18.5703125" style="5" bestFit="1" customWidth="1"/>
    <col min="12" max="13" width="12.28515625" style="5" bestFit="1" customWidth="1"/>
    <col min="14" max="256" width="11.42578125" style="5"/>
    <col min="257" max="257" width="2.5703125" style="5" customWidth="1"/>
    <col min="258" max="258" width="22.42578125" style="5" customWidth="1"/>
    <col min="259" max="259" width="12.140625" style="5" bestFit="1" customWidth="1"/>
    <col min="260" max="260" width="8.140625" style="5" customWidth="1"/>
    <col min="261" max="261" width="8.5703125" style="5" customWidth="1"/>
    <col min="262" max="262" width="17" style="5" bestFit="1" customWidth="1"/>
    <col min="263" max="263" width="16.7109375" style="5" bestFit="1" customWidth="1"/>
    <col min="264" max="264" width="18" style="5" bestFit="1" customWidth="1"/>
    <col min="265" max="265" width="17.7109375" style="5" bestFit="1" customWidth="1"/>
    <col min="266" max="266" width="13.5703125" style="5" customWidth="1"/>
    <col min="267" max="267" width="18.5703125" style="5" bestFit="1" customWidth="1"/>
    <col min="268" max="269" width="12.28515625" style="5" bestFit="1" customWidth="1"/>
    <col min="270" max="512" width="11.42578125" style="5"/>
    <col min="513" max="513" width="2.5703125" style="5" customWidth="1"/>
    <col min="514" max="514" width="22.42578125" style="5" customWidth="1"/>
    <col min="515" max="515" width="12.140625" style="5" bestFit="1" customWidth="1"/>
    <col min="516" max="516" width="8.140625" style="5" customWidth="1"/>
    <col min="517" max="517" width="8.5703125" style="5" customWidth="1"/>
    <col min="518" max="518" width="17" style="5" bestFit="1" customWidth="1"/>
    <col min="519" max="519" width="16.7109375" style="5" bestFit="1" customWidth="1"/>
    <col min="520" max="520" width="18" style="5" bestFit="1" customWidth="1"/>
    <col min="521" max="521" width="17.7109375" style="5" bestFit="1" customWidth="1"/>
    <col min="522" max="522" width="13.5703125" style="5" customWidth="1"/>
    <col min="523" max="523" width="18.5703125" style="5" bestFit="1" customWidth="1"/>
    <col min="524" max="525" width="12.28515625" style="5" bestFit="1" customWidth="1"/>
    <col min="526" max="768" width="11.42578125" style="5"/>
    <col min="769" max="769" width="2.5703125" style="5" customWidth="1"/>
    <col min="770" max="770" width="22.42578125" style="5" customWidth="1"/>
    <col min="771" max="771" width="12.140625" style="5" bestFit="1" customWidth="1"/>
    <col min="772" max="772" width="8.140625" style="5" customWidth="1"/>
    <col min="773" max="773" width="8.5703125" style="5" customWidth="1"/>
    <col min="774" max="774" width="17" style="5" bestFit="1" customWidth="1"/>
    <col min="775" max="775" width="16.7109375" style="5" bestFit="1" customWidth="1"/>
    <col min="776" max="776" width="18" style="5" bestFit="1" customWidth="1"/>
    <col min="777" max="777" width="17.7109375" style="5" bestFit="1" customWidth="1"/>
    <col min="778" max="778" width="13.5703125" style="5" customWidth="1"/>
    <col min="779" max="779" width="18.5703125" style="5" bestFit="1" customWidth="1"/>
    <col min="780" max="781" width="12.28515625" style="5" bestFit="1" customWidth="1"/>
    <col min="782" max="1024" width="11.42578125" style="5"/>
    <col min="1025" max="1025" width="2.5703125" style="5" customWidth="1"/>
    <col min="1026" max="1026" width="22.42578125" style="5" customWidth="1"/>
    <col min="1027" max="1027" width="12.140625" style="5" bestFit="1" customWidth="1"/>
    <col min="1028" max="1028" width="8.140625" style="5" customWidth="1"/>
    <col min="1029" max="1029" width="8.5703125" style="5" customWidth="1"/>
    <col min="1030" max="1030" width="17" style="5" bestFit="1" customWidth="1"/>
    <col min="1031" max="1031" width="16.7109375" style="5" bestFit="1" customWidth="1"/>
    <col min="1032" max="1032" width="18" style="5" bestFit="1" customWidth="1"/>
    <col min="1033" max="1033" width="17.7109375" style="5" bestFit="1" customWidth="1"/>
    <col min="1034" max="1034" width="13.5703125" style="5" customWidth="1"/>
    <col min="1035" max="1035" width="18.5703125" style="5" bestFit="1" customWidth="1"/>
    <col min="1036" max="1037" width="12.28515625" style="5" bestFit="1" customWidth="1"/>
    <col min="1038" max="1280" width="11.42578125" style="5"/>
    <col min="1281" max="1281" width="2.5703125" style="5" customWidth="1"/>
    <col min="1282" max="1282" width="22.42578125" style="5" customWidth="1"/>
    <col min="1283" max="1283" width="12.140625" style="5" bestFit="1" customWidth="1"/>
    <col min="1284" max="1284" width="8.140625" style="5" customWidth="1"/>
    <col min="1285" max="1285" width="8.5703125" style="5" customWidth="1"/>
    <col min="1286" max="1286" width="17" style="5" bestFit="1" customWidth="1"/>
    <col min="1287" max="1287" width="16.7109375" style="5" bestFit="1" customWidth="1"/>
    <col min="1288" max="1288" width="18" style="5" bestFit="1" customWidth="1"/>
    <col min="1289" max="1289" width="17.7109375" style="5" bestFit="1" customWidth="1"/>
    <col min="1290" max="1290" width="13.5703125" style="5" customWidth="1"/>
    <col min="1291" max="1291" width="18.5703125" style="5" bestFit="1" customWidth="1"/>
    <col min="1292" max="1293" width="12.28515625" style="5" bestFit="1" customWidth="1"/>
    <col min="1294" max="1536" width="11.42578125" style="5"/>
    <col min="1537" max="1537" width="2.5703125" style="5" customWidth="1"/>
    <col min="1538" max="1538" width="22.42578125" style="5" customWidth="1"/>
    <col min="1539" max="1539" width="12.140625" style="5" bestFit="1" customWidth="1"/>
    <col min="1540" max="1540" width="8.140625" style="5" customWidth="1"/>
    <col min="1541" max="1541" width="8.5703125" style="5" customWidth="1"/>
    <col min="1542" max="1542" width="17" style="5" bestFit="1" customWidth="1"/>
    <col min="1543" max="1543" width="16.7109375" style="5" bestFit="1" customWidth="1"/>
    <col min="1544" max="1544" width="18" style="5" bestFit="1" customWidth="1"/>
    <col min="1545" max="1545" width="17.7109375" style="5" bestFit="1" customWidth="1"/>
    <col min="1546" max="1546" width="13.5703125" style="5" customWidth="1"/>
    <col min="1547" max="1547" width="18.5703125" style="5" bestFit="1" customWidth="1"/>
    <col min="1548" max="1549" width="12.28515625" style="5" bestFit="1" customWidth="1"/>
    <col min="1550" max="1792" width="11.42578125" style="5"/>
    <col min="1793" max="1793" width="2.5703125" style="5" customWidth="1"/>
    <col min="1794" max="1794" width="22.42578125" style="5" customWidth="1"/>
    <col min="1795" max="1795" width="12.140625" style="5" bestFit="1" customWidth="1"/>
    <col min="1796" max="1796" width="8.140625" style="5" customWidth="1"/>
    <col min="1797" max="1797" width="8.5703125" style="5" customWidth="1"/>
    <col min="1798" max="1798" width="17" style="5" bestFit="1" customWidth="1"/>
    <col min="1799" max="1799" width="16.7109375" style="5" bestFit="1" customWidth="1"/>
    <col min="1800" max="1800" width="18" style="5" bestFit="1" customWidth="1"/>
    <col min="1801" max="1801" width="17.7109375" style="5" bestFit="1" customWidth="1"/>
    <col min="1802" max="1802" width="13.5703125" style="5" customWidth="1"/>
    <col min="1803" max="1803" width="18.5703125" style="5" bestFit="1" customWidth="1"/>
    <col min="1804" max="1805" width="12.28515625" style="5" bestFit="1" customWidth="1"/>
    <col min="1806" max="2048" width="11.42578125" style="5"/>
    <col min="2049" max="2049" width="2.5703125" style="5" customWidth="1"/>
    <col min="2050" max="2050" width="22.42578125" style="5" customWidth="1"/>
    <col min="2051" max="2051" width="12.140625" style="5" bestFit="1" customWidth="1"/>
    <col min="2052" max="2052" width="8.140625" style="5" customWidth="1"/>
    <col min="2053" max="2053" width="8.5703125" style="5" customWidth="1"/>
    <col min="2054" max="2054" width="17" style="5" bestFit="1" customWidth="1"/>
    <col min="2055" max="2055" width="16.7109375" style="5" bestFit="1" customWidth="1"/>
    <col min="2056" max="2056" width="18" style="5" bestFit="1" customWidth="1"/>
    <col min="2057" max="2057" width="17.7109375" style="5" bestFit="1" customWidth="1"/>
    <col min="2058" max="2058" width="13.5703125" style="5" customWidth="1"/>
    <col min="2059" max="2059" width="18.5703125" style="5" bestFit="1" customWidth="1"/>
    <col min="2060" max="2061" width="12.28515625" style="5" bestFit="1" customWidth="1"/>
    <col min="2062" max="2304" width="11.42578125" style="5"/>
    <col min="2305" max="2305" width="2.5703125" style="5" customWidth="1"/>
    <col min="2306" max="2306" width="22.42578125" style="5" customWidth="1"/>
    <col min="2307" max="2307" width="12.140625" style="5" bestFit="1" customWidth="1"/>
    <col min="2308" max="2308" width="8.140625" style="5" customWidth="1"/>
    <col min="2309" max="2309" width="8.5703125" style="5" customWidth="1"/>
    <col min="2310" max="2310" width="17" style="5" bestFit="1" customWidth="1"/>
    <col min="2311" max="2311" width="16.7109375" style="5" bestFit="1" customWidth="1"/>
    <col min="2312" max="2312" width="18" style="5" bestFit="1" customWidth="1"/>
    <col min="2313" max="2313" width="17.7109375" style="5" bestFit="1" customWidth="1"/>
    <col min="2314" max="2314" width="13.5703125" style="5" customWidth="1"/>
    <col min="2315" max="2315" width="18.5703125" style="5" bestFit="1" customWidth="1"/>
    <col min="2316" max="2317" width="12.28515625" style="5" bestFit="1" customWidth="1"/>
    <col min="2318" max="2560" width="11.42578125" style="5"/>
    <col min="2561" max="2561" width="2.5703125" style="5" customWidth="1"/>
    <col min="2562" max="2562" width="22.42578125" style="5" customWidth="1"/>
    <col min="2563" max="2563" width="12.140625" style="5" bestFit="1" customWidth="1"/>
    <col min="2564" max="2564" width="8.140625" style="5" customWidth="1"/>
    <col min="2565" max="2565" width="8.5703125" style="5" customWidth="1"/>
    <col min="2566" max="2566" width="17" style="5" bestFit="1" customWidth="1"/>
    <col min="2567" max="2567" width="16.7109375" style="5" bestFit="1" customWidth="1"/>
    <col min="2568" max="2568" width="18" style="5" bestFit="1" customWidth="1"/>
    <col min="2569" max="2569" width="17.7109375" style="5" bestFit="1" customWidth="1"/>
    <col min="2570" max="2570" width="13.5703125" style="5" customWidth="1"/>
    <col min="2571" max="2571" width="18.5703125" style="5" bestFit="1" customWidth="1"/>
    <col min="2572" max="2573" width="12.28515625" style="5" bestFit="1" customWidth="1"/>
    <col min="2574" max="2816" width="11.42578125" style="5"/>
    <col min="2817" max="2817" width="2.5703125" style="5" customWidth="1"/>
    <col min="2818" max="2818" width="22.42578125" style="5" customWidth="1"/>
    <col min="2819" max="2819" width="12.140625" style="5" bestFit="1" customWidth="1"/>
    <col min="2820" max="2820" width="8.140625" style="5" customWidth="1"/>
    <col min="2821" max="2821" width="8.5703125" style="5" customWidth="1"/>
    <col min="2822" max="2822" width="17" style="5" bestFit="1" customWidth="1"/>
    <col min="2823" max="2823" width="16.7109375" style="5" bestFit="1" customWidth="1"/>
    <col min="2824" max="2824" width="18" style="5" bestFit="1" customWidth="1"/>
    <col min="2825" max="2825" width="17.7109375" style="5" bestFit="1" customWidth="1"/>
    <col min="2826" max="2826" width="13.5703125" style="5" customWidth="1"/>
    <col min="2827" max="2827" width="18.5703125" style="5" bestFit="1" customWidth="1"/>
    <col min="2828" max="2829" width="12.28515625" style="5" bestFit="1" customWidth="1"/>
    <col min="2830" max="3072" width="11.42578125" style="5"/>
    <col min="3073" max="3073" width="2.5703125" style="5" customWidth="1"/>
    <col min="3074" max="3074" width="22.42578125" style="5" customWidth="1"/>
    <col min="3075" max="3075" width="12.140625" style="5" bestFit="1" customWidth="1"/>
    <col min="3076" max="3076" width="8.140625" style="5" customWidth="1"/>
    <col min="3077" max="3077" width="8.5703125" style="5" customWidth="1"/>
    <col min="3078" max="3078" width="17" style="5" bestFit="1" customWidth="1"/>
    <col min="3079" max="3079" width="16.7109375" style="5" bestFit="1" customWidth="1"/>
    <col min="3080" max="3080" width="18" style="5" bestFit="1" customWidth="1"/>
    <col min="3081" max="3081" width="17.7109375" style="5" bestFit="1" customWidth="1"/>
    <col min="3082" max="3082" width="13.5703125" style="5" customWidth="1"/>
    <col min="3083" max="3083" width="18.5703125" style="5" bestFit="1" customWidth="1"/>
    <col min="3084" max="3085" width="12.28515625" style="5" bestFit="1" customWidth="1"/>
    <col min="3086" max="3328" width="11.42578125" style="5"/>
    <col min="3329" max="3329" width="2.5703125" style="5" customWidth="1"/>
    <col min="3330" max="3330" width="22.42578125" style="5" customWidth="1"/>
    <col min="3331" max="3331" width="12.140625" style="5" bestFit="1" customWidth="1"/>
    <col min="3332" max="3332" width="8.140625" style="5" customWidth="1"/>
    <col min="3333" max="3333" width="8.5703125" style="5" customWidth="1"/>
    <col min="3334" max="3334" width="17" style="5" bestFit="1" customWidth="1"/>
    <col min="3335" max="3335" width="16.7109375" style="5" bestFit="1" customWidth="1"/>
    <col min="3336" max="3336" width="18" style="5" bestFit="1" customWidth="1"/>
    <col min="3337" max="3337" width="17.7109375" style="5" bestFit="1" customWidth="1"/>
    <col min="3338" max="3338" width="13.5703125" style="5" customWidth="1"/>
    <col min="3339" max="3339" width="18.5703125" style="5" bestFit="1" customWidth="1"/>
    <col min="3340" max="3341" width="12.28515625" style="5" bestFit="1" customWidth="1"/>
    <col min="3342" max="3584" width="11.42578125" style="5"/>
    <col min="3585" max="3585" width="2.5703125" style="5" customWidth="1"/>
    <col min="3586" max="3586" width="22.42578125" style="5" customWidth="1"/>
    <col min="3587" max="3587" width="12.140625" style="5" bestFit="1" customWidth="1"/>
    <col min="3588" max="3588" width="8.140625" style="5" customWidth="1"/>
    <col min="3589" max="3589" width="8.5703125" style="5" customWidth="1"/>
    <col min="3590" max="3590" width="17" style="5" bestFit="1" customWidth="1"/>
    <col min="3591" max="3591" width="16.7109375" style="5" bestFit="1" customWidth="1"/>
    <col min="3592" max="3592" width="18" style="5" bestFit="1" customWidth="1"/>
    <col min="3593" max="3593" width="17.7109375" style="5" bestFit="1" customWidth="1"/>
    <col min="3594" max="3594" width="13.5703125" style="5" customWidth="1"/>
    <col min="3595" max="3595" width="18.5703125" style="5" bestFit="1" customWidth="1"/>
    <col min="3596" max="3597" width="12.28515625" style="5" bestFit="1" customWidth="1"/>
    <col min="3598" max="3840" width="11.42578125" style="5"/>
    <col min="3841" max="3841" width="2.5703125" style="5" customWidth="1"/>
    <col min="3842" max="3842" width="22.42578125" style="5" customWidth="1"/>
    <col min="3843" max="3843" width="12.140625" style="5" bestFit="1" customWidth="1"/>
    <col min="3844" max="3844" width="8.140625" style="5" customWidth="1"/>
    <col min="3845" max="3845" width="8.5703125" style="5" customWidth="1"/>
    <col min="3846" max="3846" width="17" style="5" bestFit="1" customWidth="1"/>
    <col min="3847" max="3847" width="16.7109375" style="5" bestFit="1" customWidth="1"/>
    <col min="3848" max="3848" width="18" style="5" bestFit="1" customWidth="1"/>
    <col min="3849" max="3849" width="17.7109375" style="5" bestFit="1" customWidth="1"/>
    <col min="3850" max="3850" width="13.5703125" style="5" customWidth="1"/>
    <col min="3851" max="3851" width="18.5703125" style="5" bestFit="1" customWidth="1"/>
    <col min="3852" max="3853" width="12.28515625" style="5" bestFit="1" customWidth="1"/>
    <col min="3854" max="4096" width="11.42578125" style="5"/>
    <col min="4097" max="4097" width="2.5703125" style="5" customWidth="1"/>
    <col min="4098" max="4098" width="22.42578125" style="5" customWidth="1"/>
    <col min="4099" max="4099" width="12.140625" style="5" bestFit="1" customWidth="1"/>
    <col min="4100" max="4100" width="8.140625" style="5" customWidth="1"/>
    <col min="4101" max="4101" width="8.5703125" style="5" customWidth="1"/>
    <col min="4102" max="4102" width="17" style="5" bestFit="1" customWidth="1"/>
    <col min="4103" max="4103" width="16.7109375" style="5" bestFit="1" customWidth="1"/>
    <col min="4104" max="4104" width="18" style="5" bestFit="1" customWidth="1"/>
    <col min="4105" max="4105" width="17.7109375" style="5" bestFit="1" customWidth="1"/>
    <col min="4106" max="4106" width="13.5703125" style="5" customWidth="1"/>
    <col min="4107" max="4107" width="18.5703125" style="5" bestFit="1" customWidth="1"/>
    <col min="4108" max="4109" width="12.28515625" style="5" bestFit="1" customWidth="1"/>
    <col min="4110" max="4352" width="11.42578125" style="5"/>
    <col min="4353" max="4353" width="2.5703125" style="5" customWidth="1"/>
    <col min="4354" max="4354" width="22.42578125" style="5" customWidth="1"/>
    <col min="4355" max="4355" width="12.140625" style="5" bestFit="1" customWidth="1"/>
    <col min="4356" max="4356" width="8.140625" style="5" customWidth="1"/>
    <col min="4357" max="4357" width="8.5703125" style="5" customWidth="1"/>
    <col min="4358" max="4358" width="17" style="5" bestFit="1" customWidth="1"/>
    <col min="4359" max="4359" width="16.7109375" style="5" bestFit="1" customWidth="1"/>
    <col min="4360" max="4360" width="18" style="5" bestFit="1" customWidth="1"/>
    <col min="4361" max="4361" width="17.7109375" style="5" bestFit="1" customWidth="1"/>
    <col min="4362" max="4362" width="13.5703125" style="5" customWidth="1"/>
    <col min="4363" max="4363" width="18.5703125" style="5" bestFit="1" customWidth="1"/>
    <col min="4364" max="4365" width="12.28515625" style="5" bestFit="1" customWidth="1"/>
    <col min="4366" max="4608" width="11.42578125" style="5"/>
    <col min="4609" max="4609" width="2.5703125" style="5" customWidth="1"/>
    <col min="4610" max="4610" width="22.42578125" style="5" customWidth="1"/>
    <col min="4611" max="4611" width="12.140625" style="5" bestFit="1" customWidth="1"/>
    <col min="4612" max="4612" width="8.140625" style="5" customWidth="1"/>
    <col min="4613" max="4613" width="8.5703125" style="5" customWidth="1"/>
    <col min="4614" max="4614" width="17" style="5" bestFit="1" customWidth="1"/>
    <col min="4615" max="4615" width="16.7109375" style="5" bestFit="1" customWidth="1"/>
    <col min="4616" max="4616" width="18" style="5" bestFit="1" customWidth="1"/>
    <col min="4617" max="4617" width="17.7109375" style="5" bestFit="1" customWidth="1"/>
    <col min="4618" max="4618" width="13.5703125" style="5" customWidth="1"/>
    <col min="4619" max="4619" width="18.5703125" style="5" bestFit="1" customWidth="1"/>
    <col min="4620" max="4621" width="12.28515625" style="5" bestFit="1" customWidth="1"/>
    <col min="4622" max="4864" width="11.42578125" style="5"/>
    <col min="4865" max="4865" width="2.5703125" style="5" customWidth="1"/>
    <col min="4866" max="4866" width="22.42578125" style="5" customWidth="1"/>
    <col min="4867" max="4867" width="12.140625" style="5" bestFit="1" customWidth="1"/>
    <col min="4868" max="4868" width="8.140625" style="5" customWidth="1"/>
    <col min="4869" max="4869" width="8.5703125" style="5" customWidth="1"/>
    <col min="4870" max="4870" width="17" style="5" bestFit="1" customWidth="1"/>
    <col min="4871" max="4871" width="16.7109375" style="5" bestFit="1" customWidth="1"/>
    <col min="4872" max="4872" width="18" style="5" bestFit="1" customWidth="1"/>
    <col min="4873" max="4873" width="17.7109375" style="5" bestFit="1" customWidth="1"/>
    <col min="4874" max="4874" width="13.5703125" style="5" customWidth="1"/>
    <col min="4875" max="4875" width="18.5703125" style="5" bestFit="1" customWidth="1"/>
    <col min="4876" max="4877" width="12.28515625" style="5" bestFit="1" customWidth="1"/>
    <col min="4878" max="5120" width="11.42578125" style="5"/>
    <col min="5121" max="5121" width="2.5703125" style="5" customWidth="1"/>
    <col min="5122" max="5122" width="22.42578125" style="5" customWidth="1"/>
    <col min="5123" max="5123" width="12.140625" style="5" bestFit="1" customWidth="1"/>
    <col min="5124" max="5124" width="8.140625" style="5" customWidth="1"/>
    <col min="5125" max="5125" width="8.5703125" style="5" customWidth="1"/>
    <col min="5126" max="5126" width="17" style="5" bestFit="1" customWidth="1"/>
    <col min="5127" max="5127" width="16.7109375" style="5" bestFit="1" customWidth="1"/>
    <col min="5128" max="5128" width="18" style="5" bestFit="1" customWidth="1"/>
    <col min="5129" max="5129" width="17.7109375" style="5" bestFit="1" customWidth="1"/>
    <col min="5130" max="5130" width="13.5703125" style="5" customWidth="1"/>
    <col min="5131" max="5131" width="18.5703125" style="5" bestFit="1" customWidth="1"/>
    <col min="5132" max="5133" width="12.28515625" style="5" bestFit="1" customWidth="1"/>
    <col min="5134" max="5376" width="11.42578125" style="5"/>
    <col min="5377" max="5377" width="2.5703125" style="5" customWidth="1"/>
    <col min="5378" max="5378" width="22.42578125" style="5" customWidth="1"/>
    <col min="5379" max="5379" width="12.140625" style="5" bestFit="1" customWidth="1"/>
    <col min="5380" max="5380" width="8.140625" style="5" customWidth="1"/>
    <col min="5381" max="5381" width="8.5703125" style="5" customWidth="1"/>
    <col min="5382" max="5382" width="17" style="5" bestFit="1" customWidth="1"/>
    <col min="5383" max="5383" width="16.7109375" style="5" bestFit="1" customWidth="1"/>
    <col min="5384" max="5384" width="18" style="5" bestFit="1" customWidth="1"/>
    <col min="5385" max="5385" width="17.7109375" style="5" bestFit="1" customWidth="1"/>
    <col min="5386" max="5386" width="13.5703125" style="5" customWidth="1"/>
    <col min="5387" max="5387" width="18.5703125" style="5" bestFit="1" customWidth="1"/>
    <col min="5388" max="5389" width="12.28515625" style="5" bestFit="1" customWidth="1"/>
    <col min="5390" max="5632" width="11.42578125" style="5"/>
    <col min="5633" max="5633" width="2.5703125" style="5" customWidth="1"/>
    <col min="5634" max="5634" width="22.42578125" style="5" customWidth="1"/>
    <col min="5635" max="5635" width="12.140625" style="5" bestFit="1" customWidth="1"/>
    <col min="5636" max="5636" width="8.140625" style="5" customWidth="1"/>
    <col min="5637" max="5637" width="8.5703125" style="5" customWidth="1"/>
    <col min="5638" max="5638" width="17" style="5" bestFit="1" customWidth="1"/>
    <col min="5639" max="5639" width="16.7109375" style="5" bestFit="1" customWidth="1"/>
    <col min="5640" max="5640" width="18" style="5" bestFit="1" customWidth="1"/>
    <col min="5641" max="5641" width="17.7109375" style="5" bestFit="1" customWidth="1"/>
    <col min="5642" max="5642" width="13.5703125" style="5" customWidth="1"/>
    <col min="5643" max="5643" width="18.5703125" style="5" bestFit="1" customWidth="1"/>
    <col min="5644" max="5645" width="12.28515625" style="5" bestFit="1" customWidth="1"/>
    <col min="5646" max="5888" width="11.42578125" style="5"/>
    <col min="5889" max="5889" width="2.5703125" style="5" customWidth="1"/>
    <col min="5890" max="5890" width="22.42578125" style="5" customWidth="1"/>
    <col min="5891" max="5891" width="12.140625" style="5" bestFit="1" customWidth="1"/>
    <col min="5892" max="5892" width="8.140625" style="5" customWidth="1"/>
    <col min="5893" max="5893" width="8.5703125" style="5" customWidth="1"/>
    <col min="5894" max="5894" width="17" style="5" bestFit="1" customWidth="1"/>
    <col min="5895" max="5895" width="16.7109375" style="5" bestFit="1" customWidth="1"/>
    <col min="5896" max="5896" width="18" style="5" bestFit="1" customWidth="1"/>
    <col min="5897" max="5897" width="17.7109375" style="5" bestFit="1" customWidth="1"/>
    <col min="5898" max="5898" width="13.5703125" style="5" customWidth="1"/>
    <col min="5899" max="5899" width="18.5703125" style="5" bestFit="1" customWidth="1"/>
    <col min="5900" max="5901" width="12.28515625" style="5" bestFit="1" customWidth="1"/>
    <col min="5902" max="6144" width="11.42578125" style="5"/>
    <col min="6145" max="6145" width="2.5703125" style="5" customWidth="1"/>
    <col min="6146" max="6146" width="22.42578125" style="5" customWidth="1"/>
    <col min="6147" max="6147" width="12.140625" style="5" bestFit="1" customWidth="1"/>
    <col min="6148" max="6148" width="8.140625" style="5" customWidth="1"/>
    <col min="6149" max="6149" width="8.5703125" style="5" customWidth="1"/>
    <col min="6150" max="6150" width="17" style="5" bestFit="1" customWidth="1"/>
    <col min="6151" max="6151" width="16.7109375" style="5" bestFit="1" customWidth="1"/>
    <col min="6152" max="6152" width="18" style="5" bestFit="1" customWidth="1"/>
    <col min="6153" max="6153" width="17.7109375" style="5" bestFit="1" customWidth="1"/>
    <col min="6154" max="6154" width="13.5703125" style="5" customWidth="1"/>
    <col min="6155" max="6155" width="18.5703125" style="5" bestFit="1" customWidth="1"/>
    <col min="6156" max="6157" width="12.28515625" style="5" bestFit="1" customWidth="1"/>
    <col min="6158" max="6400" width="11.42578125" style="5"/>
    <col min="6401" max="6401" width="2.5703125" style="5" customWidth="1"/>
    <col min="6402" max="6402" width="22.42578125" style="5" customWidth="1"/>
    <col min="6403" max="6403" width="12.140625" style="5" bestFit="1" customWidth="1"/>
    <col min="6404" max="6404" width="8.140625" style="5" customWidth="1"/>
    <col min="6405" max="6405" width="8.5703125" style="5" customWidth="1"/>
    <col min="6406" max="6406" width="17" style="5" bestFit="1" customWidth="1"/>
    <col min="6407" max="6407" width="16.7109375" style="5" bestFit="1" customWidth="1"/>
    <col min="6408" max="6408" width="18" style="5" bestFit="1" customWidth="1"/>
    <col min="6409" max="6409" width="17.7109375" style="5" bestFit="1" customWidth="1"/>
    <col min="6410" max="6410" width="13.5703125" style="5" customWidth="1"/>
    <col min="6411" max="6411" width="18.5703125" style="5" bestFit="1" customWidth="1"/>
    <col min="6412" max="6413" width="12.28515625" style="5" bestFit="1" customWidth="1"/>
    <col min="6414" max="6656" width="11.42578125" style="5"/>
    <col min="6657" max="6657" width="2.5703125" style="5" customWidth="1"/>
    <col min="6658" max="6658" width="22.42578125" style="5" customWidth="1"/>
    <col min="6659" max="6659" width="12.140625" style="5" bestFit="1" customWidth="1"/>
    <col min="6660" max="6660" width="8.140625" style="5" customWidth="1"/>
    <col min="6661" max="6661" width="8.5703125" style="5" customWidth="1"/>
    <col min="6662" max="6662" width="17" style="5" bestFit="1" customWidth="1"/>
    <col min="6663" max="6663" width="16.7109375" style="5" bestFit="1" customWidth="1"/>
    <col min="6664" max="6664" width="18" style="5" bestFit="1" customWidth="1"/>
    <col min="6665" max="6665" width="17.7109375" style="5" bestFit="1" customWidth="1"/>
    <col min="6666" max="6666" width="13.5703125" style="5" customWidth="1"/>
    <col min="6667" max="6667" width="18.5703125" style="5" bestFit="1" customWidth="1"/>
    <col min="6668" max="6669" width="12.28515625" style="5" bestFit="1" customWidth="1"/>
    <col min="6670" max="6912" width="11.42578125" style="5"/>
    <col min="6913" max="6913" width="2.5703125" style="5" customWidth="1"/>
    <col min="6914" max="6914" width="22.42578125" style="5" customWidth="1"/>
    <col min="6915" max="6915" width="12.140625" style="5" bestFit="1" customWidth="1"/>
    <col min="6916" max="6916" width="8.140625" style="5" customWidth="1"/>
    <col min="6917" max="6917" width="8.5703125" style="5" customWidth="1"/>
    <col min="6918" max="6918" width="17" style="5" bestFit="1" customWidth="1"/>
    <col min="6919" max="6919" width="16.7109375" style="5" bestFit="1" customWidth="1"/>
    <col min="6920" max="6920" width="18" style="5" bestFit="1" customWidth="1"/>
    <col min="6921" max="6921" width="17.7109375" style="5" bestFit="1" customWidth="1"/>
    <col min="6922" max="6922" width="13.5703125" style="5" customWidth="1"/>
    <col min="6923" max="6923" width="18.5703125" style="5" bestFit="1" customWidth="1"/>
    <col min="6924" max="6925" width="12.28515625" style="5" bestFit="1" customWidth="1"/>
    <col min="6926" max="7168" width="11.42578125" style="5"/>
    <col min="7169" max="7169" width="2.5703125" style="5" customWidth="1"/>
    <col min="7170" max="7170" width="22.42578125" style="5" customWidth="1"/>
    <col min="7171" max="7171" width="12.140625" style="5" bestFit="1" customWidth="1"/>
    <col min="7172" max="7172" width="8.140625" style="5" customWidth="1"/>
    <col min="7173" max="7173" width="8.5703125" style="5" customWidth="1"/>
    <col min="7174" max="7174" width="17" style="5" bestFit="1" customWidth="1"/>
    <col min="7175" max="7175" width="16.7109375" style="5" bestFit="1" customWidth="1"/>
    <col min="7176" max="7176" width="18" style="5" bestFit="1" customWidth="1"/>
    <col min="7177" max="7177" width="17.7109375" style="5" bestFit="1" customWidth="1"/>
    <col min="7178" max="7178" width="13.5703125" style="5" customWidth="1"/>
    <col min="7179" max="7179" width="18.5703125" style="5" bestFit="1" customWidth="1"/>
    <col min="7180" max="7181" width="12.28515625" style="5" bestFit="1" customWidth="1"/>
    <col min="7182" max="7424" width="11.42578125" style="5"/>
    <col min="7425" max="7425" width="2.5703125" style="5" customWidth="1"/>
    <col min="7426" max="7426" width="22.42578125" style="5" customWidth="1"/>
    <col min="7427" max="7427" width="12.140625" style="5" bestFit="1" customWidth="1"/>
    <col min="7428" max="7428" width="8.140625" style="5" customWidth="1"/>
    <col min="7429" max="7429" width="8.5703125" style="5" customWidth="1"/>
    <col min="7430" max="7430" width="17" style="5" bestFit="1" customWidth="1"/>
    <col min="7431" max="7431" width="16.7109375" style="5" bestFit="1" customWidth="1"/>
    <col min="7432" max="7432" width="18" style="5" bestFit="1" customWidth="1"/>
    <col min="7433" max="7433" width="17.7109375" style="5" bestFit="1" customWidth="1"/>
    <col min="7434" max="7434" width="13.5703125" style="5" customWidth="1"/>
    <col min="7435" max="7435" width="18.5703125" style="5" bestFit="1" customWidth="1"/>
    <col min="7436" max="7437" width="12.28515625" style="5" bestFit="1" customWidth="1"/>
    <col min="7438" max="7680" width="11.42578125" style="5"/>
    <col min="7681" max="7681" width="2.5703125" style="5" customWidth="1"/>
    <col min="7682" max="7682" width="22.42578125" style="5" customWidth="1"/>
    <col min="7683" max="7683" width="12.140625" style="5" bestFit="1" customWidth="1"/>
    <col min="7684" max="7684" width="8.140625" style="5" customWidth="1"/>
    <col min="7685" max="7685" width="8.5703125" style="5" customWidth="1"/>
    <col min="7686" max="7686" width="17" style="5" bestFit="1" customWidth="1"/>
    <col min="7687" max="7687" width="16.7109375" style="5" bestFit="1" customWidth="1"/>
    <col min="7688" max="7688" width="18" style="5" bestFit="1" customWidth="1"/>
    <col min="7689" max="7689" width="17.7109375" style="5" bestFit="1" customWidth="1"/>
    <col min="7690" max="7690" width="13.5703125" style="5" customWidth="1"/>
    <col min="7691" max="7691" width="18.5703125" style="5" bestFit="1" customWidth="1"/>
    <col min="7692" max="7693" width="12.28515625" style="5" bestFit="1" customWidth="1"/>
    <col min="7694" max="7936" width="11.42578125" style="5"/>
    <col min="7937" max="7937" width="2.5703125" style="5" customWidth="1"/>
    <col min="7938" max="7938" width="22.42578125" style="5" customWidth="1"/>
    <col min="7939" max="7939" width="12.140625" style="5" bestFit="1" customWidth="1"/>
    <col min="7940" max="7940" width="8.140625" style="5" customWidth="1"/>
    <col min="7941" max="7941" width="8.5703125" style="5" customWidth="1"/>
    <col min="7942" max="7942" width="17" style="5" bestFit="1" customWidth="1"/>
    <col min="7943" max="7943" width="16.7109375" style="5" bestFit="1" customWidth="1"/>
    <col min="7944" max="7944" width="18" style="5" bestFit="1" customWidth="1"/>
    <col min="7945" max="7945" width="17.7109375" style="5" bestFit="1" customWidth="1"/>
    <col min="7946" max="7946" width="13.5703125" style="5" customWidth="1"/>
    <col min="7947" max="7947" width="18.5703125" style="5" bestFit="1" customWidth="1"/>
    <col min="7948" max="7949" width="12.28515625" style="5" bestFit="1" customWidth="1"/>
    <col min="7950" max="8192" width="11.42578125" style="5"/>
    <col min="8193" max="8193" width="2.5703125" style="5" customWidth="1"/>
    <col min="8194" max="8194" width="22.42578125" style="5" customWidth="1"/>
    <col min="8195" max="8195" width="12.140625" style="5" bestFit="1" customWidth="1"/>
    <col min="8196" max="8196" width="8.140625" style="5" customWidth="1"/>
    <col min="8197" max="8197" width="8.5703125" style="5" customWidth="1"/>
    <col min="8198" max="8198" width="17" style="5" bestFit="1" customWidth="1"/>
    <col min="8199" max="8199" width="16.7109375" style="5" bestFit="1" customWidth="1"/>
    <col min="8200" max="8200" width="18" style="5" bestFit="1" customWidth="1"/>
    <col min="8201" max="8201" width="17.7109375" style="5" bestFit="1" customWidth="1"/>
    <col min="8202" max="8202" width="13.5703125" style="5" customWidth="1"/>
    <col min="8203" max="8203" width="18.5703125" style="5" bestFit="1" customWidth="1"/>
    <col min="8204" max="8205" width="12.28515625" style="5" bestFit="1" customWidth="1"/>
    <col min="8206" max="8448" width="11.42578125" style="5"/>
    <col min="8449" max="8449" width="2.5703125" style="5" customWidth="1"/>
    <col min="8450" max="8450" width="22.42578125" style="5" customWidth="1"/>
    <col min="8451" max="8451" width="12.140625" style="5" bestFit="1" customWidth="1"/>
    <col min="8452" max="8452" width="8.140625" style="5" customWidth="1"/>
    <col min="8453" max="8453" width="8.5703125" style="5" customWidth="1"/>
    <col min="8454" max="8454" width="17" style="5" bestFit="1" customWidth="1"/>
    <col min="8455" max="8455" width="16.7109375" style="5" bestFit="1" customWidth="1"/>
    <col min="8456" max="8456" width="18" style="5" bestFit="1" customWidth="1"/>
    <col min="8457" max="8457" width="17.7109375" style="5" bestFit="1" customWidth="1"/>
    <col min="8458" max="8458" width="13.5703125" style="5" customWidth="1"/>
    <col min="8459" max="8459" width="18.5703125" style="5" bestFit="1" customWidth="1"/>
    <col min="8460" max="8461" width="12.28515625" style="5" bestFit="1" customWidth="1"/>
    <col min="8462" max="8704" width="11.42578125" style="5"/>
    <col min="8705" max="8705" width="2.5703125" style="5" customWidth="1"/>
    <col min="8706" max="8706" width="22.42578125" style="5" customWidth="1"/>
    <col min="8707" max="8707" width="12.140625" style="5" bestFit="1" customWidth="1"/>
    <col min="8708" max="8708" width="8.140625" style="5" customWidth="1"/>
    <col min="8709" max="8709" width="8.5703125" style="5" customWidth="1"/>
    <col min="8710" max="8710" width="17" style="5" bestFit="1" customWidth="1"/>
    <col min="8711" max="8711" width="16.7109375" style="5" bestFit="1" customWidth="1"/>
    <col min="8712" max="8712" width="18" style="5" bestFit="1" customWidth="1"/>
    <col min="8713" max="8713" width="17.7109375" style="5" bestFit="1" customWidth="1"/>
    <col min="8714" max="8714" width="13.5703125" style="5" customWidth="1"/>
    <col min="8715" max="8715" width="18.5703125" style="5" bestFit="1" customWidth="1"/>
    <col min="8716" max="8717" width="12.28515625" style="5" bestFit="1" customWidth="1"/>
    <col min="8718" max="8960" width="11.42578125" style="5"/>
    <col min="8961" max="8961" width="2.5703125" style="5" customWidth="1"/>
    <col min="8962" max="8962" width="22.42578125" style="5" customWidth="1"/>
    <col min="8963" max="8963" width="12.140625" style="5" bestFit="1" customWidth="1"/>
    <col min="8964" max="8964" width="8.140625" style="5" customWidth="1"/>
    <col min="8965" max="8965" width="8.5703125" style="5" customWidth="1"/>
    <col min="8966" max="8966" width="17" style="5" bestFit="1" customWidth="1"/>
    <col min="8967" max="8967" width="16.7109375" style="5" bestFit="1" customWidth="1"/>
    <col min="8968" max="8968" width="18" style="5" bestFit="1" customWidth="1"/>
    <col min="8969" max="8969" width="17.7109375" style="5" bestFit="1" customWidth="1"/>
    <col min="8970" max="8970" width="13.5703125" style="5" customWidth="1"/>
    <col min="8971" max="8971" width="18.5703125" style="5" bestFit="1" customWidth="1"/>
    <col min="8972" max="8973" width="12.28515625" style="5" bestFit="1" customWidth="1"/>
    <col min="8974" max="9216" width="11.42578125" style="5"/>
    <col min="9217" max="9217" width="2.5703125" style="5" customWidth="1"/>
    <col min="9218" max="9218" width="22.42578125" style="5" customWidth="1"/>
    <col min="9219" max="9219" width="12.140625" style="5" bestFit="1" customWidth="1"/>
    <col min="9220" max="9220" width="8.140625" style="5" customWidth="1"/>
    <col min="9221" max="9221" width="8.5703125" style="5" customWidth="1"/>
    <col min="9222" max="9222" width="17" style="5" bestFit="1" customWidth="1"/>
    <col min="9223" max="9223" width="16.7109375" style="5" bestFit="1" customWidth="1"/>
    <col min="9224" max="9224" width="18" style="5" bestFit="1" customWidth="1"/>
    <col min="9225" max="9225" width="17.7109375" style="5" bestFit="1" customWidth="1"/>
    <col min="9226" max="9226" width="13.5703125" style="5" customWidth="1"/>
    <col min="9227" max="9227" width="18.5703125" style="5" bestFit="1" customWidth="1"/>
    <col min="9228" max="9229" width="12.28515625" style="5" bestFit="1" customWidth="1"/>
    <col min="9230" max="9472" width="11.42578125" style="5"/>
    <col min="9473" max="9473" width="2.5703125" style="5" customWidth="1"/>
    <col min="9474" max="9474" width="22.42578125" style="5" customWidth="1"/>
    <col min="9475" max="9475" width="12.140625" style="5" bestFit="1" customWidth="1"/>
    <col min="9476" max="9476" width="8.140625" style="5" customWidth="1"/>
    <col min="9477" max="9477" width="8.5703125" style="5" customWidth="1"/>
    <col min="9478" max="9478" width="17" style="5" bestFit="1" customWidth="1"/>
    <col min="9479" max="9479" width="16.7109375" style="5" bestFit="1" customWidth="1"/>
    <col min="9480" max="9480" width="18" style="5" bestFit="1" customWidth="1"/>
    <col min="9481" max="9481" width="17.7109375" style="5" bestFit="1" customWidth="1"/>
    <col min="9482" max="9482" width="13.5703125" style="5" customWidth="1"/>
    <col min="9483" max="9483" width="18.5703125" style="5" bestFit="1" customWidth="1"/>
    <col min="9484" max="9485" width="12.28515625" style="5" bestFit="1" customWidth="1"/>
    <col min="9486" max="9728" width="11.42578125" style="5"/>
    <col min="9729" max="9729" width="2.5703125" style="5" customWidth="1"/>
    <col min="9730" max="9730" width="22.42578125" style="5" customWidth="1"/>
    <col min="9731" max="9731" width="12.140625" style="5" bestFit="1" customWidth="1"/>
    <col min="9732" max="9732" width="8.140625" style="5" customWidth="1"/>
    <col min="9733" max="9733" width="8.5703125" style="5" customWidth="1"/>
    <col min="9734" max="9734" width="17" style="5" bestFit="1" customWidth="1"/>
    <col min="9735" max="9735" width="16.7109375" style="5" bestFit="1" customWidth="1"/>
    <col min="9736" max="9736" width="18" style="5" bestFit="1" customWidth="1"/>
    <col min="9737" max="9737" width="17.7109375" style="5" bestFit="1" customWidth="1"/>
    <col min="9738" max="9738" width="13.5703125" style="5" customWidth="1"/>
    <col min="9739" max="9739" width="18.5703125" style="5" bestFit="1" customWidth="1"/>
    <col min="9740" max="9741" width="12.28515625" style="5" bestFit="1" customWidth="1"/>
    <col min="9742" max="9984" width="11.42578125" style="5"/>
    <col min="9985" max="9985" width="2.5703125" style="5" customWidth="1"/>
    <col min="9986" max="9986" width="22.42578125" style="5" customWidth="1"/>
    <col min="9987" max="9987" width="12.140625" style="5" bestFit="1" customWidth="1"/>
    <col min="9988" max="9988" width="8.140625" style="5" customWidth="1"/>
    <col min="9989" max="9989" width="8.5703125" style="5" customWidth="1"/>
    <col min="9990" max="9990" width="17" style="5" bestFit="1" customWidth="1"/>
    <col min="9991" max="9991" width="16.7109375" style="5" bestFit="1" customWidth="1"/>
    <col min="9992" max="9992" width="18" style="5" bestFit="1" customWidth="1"/>
    <col min="9993" max="9993" width="17.7109375" style="5" bestFit="1" customWidth="1"/>
    <col min="9994" max="9994" width="13.5703125" style="5" customWidth="1"/>
    <col min="9995" max="9995" width="18.5703125" style="5" bestFit="1" customWidth="1"/>
    <col min="9996" max="9997" width="12.28515625" style="5" bestFit="1" customWidth="1"/>
    <col min="9998" max="10240" width="11.42578125" style="5"/>
    <col min="10241" max="10241" width="2.5703125" style="5" customWidth="1"/>
    <col min="10242" max="10242" width="22.42578125" style="5" customWidth="1"/>
    <col min="10243" max="10243" width="12.140625" style="5" bestFit="1" customWidth="1"/>
    <col min="10244" max="10244" width="8.140625" style="5" customWidth="1"/>
    <col min="10245" max="10245" width="8.5703125" style="5" customWidth="1"/>
    <col min="10246" max="10246" width="17" style="5" bestFit="1" customWidth="1"/>
    <col min="10247" max="10247" width="16.7109375" style="5" bestFit="1" customWidth="1"/>
    <col min="10248" max="10248" width="18" style="5" bestFit="1" customWidth="1"/>
    <col min="10249" max="10249" width="17.7109375" style="5" bestFit="1" customWidth="1"/>
    <col min="10250" max="10250" width="13.5703125" style="5" customWidth="1"/>
    <col min="10251" max="10251" width="18.5703125" style="5" bestFit="1" customWidth="1"/>
    <col min="10252" max="10253" width="12.28515625" style="5" bestFit="1" customWidth="1"/>
    <col min="10254" max="10496" width="11.42578125" style="5"/>
    <col min="10497" max="10497" width="2.5703125" style="5" customWidth="1"/>
    <col min="10498" max="10498" width="22.42578125" style="5" customWidth="1"/>
    <col min="10499" max="10499" width="12.140625" style="5" bestFit="1" customWidth="1"/>
    <col min="10500" max="10500" width="8.140625" style="5" customWidth="1"/>
    <col min="10501" max="10501" width="8.5703125" style="5" customWidth="1"/>
    <col min="10502" max="10502" width="17" style="5" bestFit="1" customWidth="1"/>
    <col min="10503" max="10503" width="16.7109375" style="5" bestFit="1" customWidth="1"/>
    <col min="10504" max="10504" width="18" style="5" bestFit="1" customWidth="1"/>
    <col min="10505" max="10505" width="17.7109375" style="5" bestFit="1" customWidth="1"/>
    <col min="10506" max="10506" width="13.5703125" style="5" customWidth="1"/>
    <col min="10507" max="10507" width="18.5703125" style="5" bestFit="1" customWidth="1"/>
    <col min="10508" max="10509" width="12.28515625" style="5" bestFit="1" customWidth="1"/>
    <col min="10510" max="10752" width="11.42578125" style="5"/>
    <col min="10753" max="10753" width="2.5703125" style="5" customWidth="1"/>
    <col min="10754" max="10754" width="22.42578125" style="5" customWidth="1"/>
    <col min="10755" max="10755" width="12.140625" style="5" bestFit="1" customWidth="1"/>
    <col min="10756" max="10756" width="8.140625" style="5" customWidth="1"/>
    <col min="10757" max="10757" width="8.5703125" style="5" customWidth="1"/>
    <col min="10758" max="10758" width="17" style="5" bestFit="1" customWidth="1"/>
    <col min="10759" max="10759" width="16.7109375" style="5" bestFit="1" customWidth="1"/>
    <col min="10760" max="10760" width="18" style="5" bestFit="1" customWidth="1"/>
    <col min="10761" max="10761" width="17.7109375" style="5" bestFit="1" customWidth="1"/>
    <col min="10762" max="10762" width="13.5703125" style="5" customWidth="1"/>
    <col min="10763" max="10763" width="18.5703125" style="5" bestFit="1" customWidth="1"/>
    <col min="10764" max="10765" width="12.28515625" style="5" bestFit="1" customWidth="1"/>
    <col min="10766" max="11008" width="11.42578125" style="5"/>
    <col min="11009" max="11009" width="2.5703125" style="5" customWidth="1"/>
    <col min="11010" max="11010" width="22.42578125" style="5" customWidth="1"/>
    <col min="11011" max="11011" width="12.140625" style="5" bestFit="1" customWidth="1"/>
    <col min="11012" max="11012" width="8.140625" style="5" customWidth="1"/>
    <col min="11013" max="11013" width="8.5703125" style="5" customWidth="1"/>
    <col min="11014" max="11014" width="17" style="5" bestFit="1" customWidth="1"/>
    <col min="11015" max="11015" width="16.7109375" style="5" bestFit="1" customWidth="1"/>
    <col min="11016" max="11016" width="18" style="5" bestFit="1" customWidth="1"/>
    <col min="11017" max="11017" width="17.7109375" style="5" bestFit="1" customWidth="1"/>
    <col min="11018" max="11018" width="13.5703125" style="5" customWidth="1"/>
    <col min="11019" max="11019" width="18.5703125" style="5" bestFit="1" customWidth="1"/>
    <col min="11020" max="11021" width="12.28515625" style="5" bestFit="1" customWidth="1"/>
    <col min="11022" max="11264" width="11.42578125" style="5"/>
    <col min="11265" max="11265" width="2.5703125" style="5" customWidth="1"/>
    <col min="11266" max="11266" width="22.42578125" style="5" customWidth="1"/>
    <col min="11267" max="11267" width="12.140625" style="5" bestFit="1" customWidth="1"/>
    <col min="11268" max="11268" width="8.140625" style="5" customWidth="1"/>
    <col min="11269" max="11269" width="8.5703125" style="5" customWidth="1"/>
    <col min="11270" max="11270" width="17" style="5" bestFit="1" customWidth="1"/>
    <col min="11271" max="11271" width="16.7109375" style="5" bestFit="1" customWidth="1"/>
    <col min="11272" max="11272" width="18" style="5" bestFit="1" customWidth="1"/>
    <col min="11273" max="11273" width="17.7109375" style="5" bestFit="1" customWidth="1"/>
    <col min="11274" max="11274" width="13.5703125" style="5" customWidth="1"/>
    <col min="11275" max="11275" width="18.5703125" style="5" bestFit="1" customWidth="1"/>
    <col min="11276" max="11277" width="12.28515625" style="5" bestFit="1" customWidth="1"/>
    <col min="11278" max="11520" width="11.42578125" style="5"/>
    <col min="11521" max="11521" width="2.5703125" style="5" customWidth="1"/>
    <col min="11522" max="11522" width="22.42578125" style="5" customWidth="1"/>
    <col min="11523" max="11523" width="12.140625" style="5" bestFit="1" customWidth="1"/>
    <col min="11524" max="11524" width="8.140625" style="5" customWidth="1"/>
    <col min="11525" max="11525" width="8.5703125" style="5" customWidth="1"/>
    <col min="11526" max="11526" width="17" style="5" bestFit="1" customWidth="1"/>
    <col min="11527" max="11527" width="16.7109375" style="5" bestFit="1" customWidth="1"/>
    <col min="11528" max="11528" width="18" style="5" bestFit="1" customWidth="1"/>
    <col min="11529" max="11529" width="17.7109375" style="5" bestFit="1" customWidth="1"/>
    <col min="11530" max="11530" width="13.5703125" style="5" customWidth="1"/>
    <col min="11531" max="11531" width="18.5703125" style="5" bestFit="1" customWidth="1"/>
    <col min="11532" max="11533" width="12.28515625" style="5" bestFit="1" customWidth="1"/>
    <col min="11534" max="11776" width="11.42578125" style="5"/>
    <col min="11777" max="11777" width="2.5703125" style="5" customWidth="1"/>
    <col min="11778" max="11778" width="22.42578125" style="5" customWidth="1"/>
    <col min="11779" max="11779" width="12.140625" style="5" bestFit="1" customWidth="1"/>
    <col min="11780" max="11780" width="8.140625" style="5" customWidth="1"/>
    <col min="11781" max="11781" width="8.5703125" style="5" customWidth="1"/>
    <col min="11782" max="11782" width="17" style="5" bestFit="1" customWidth="1"/>
    <col min="11783" max="11783" width="16.7109375" style="5" bestFit="1" customWidth="1"/>
    <col min="11784" max="11784" width="18" style="5" bestFit="1" customWidth="1"/>
    <col min="11785" max="11785" width="17.7109375" style="5" bestFit="1" customWidth="1"/>
    <col min="11786" max="11786" width="13.5703125" style="5" customWidth="1"/>
    <col min="11787" max="11787" width="18.5703125" style="5" bestFit="1" customWidth="1"/>
    <col min="11788" max="11789" width="12.28515625" style="5" bestFit="1" customWidth="1"/>
    <col min="11790" max="12032" width="11.42578125" style="5"/>
    <col min="12033" max="12033" width="2.5703125" style="5" customWidth="1"/>
    <col min="12034" max="12034" width="22.42578125" style="5" customWidth="1"/>
    <col min="12035" max="12035" width="12.140625" style="5" bestFit="1" customWidth="1"/>
    <col min="12036" max="12036" width="8.140625" style="5" customWidth="1"/>
    <col min="12037" max="12037" width="8.5703125" style="5" customWidth="1"/>
    <col min="12038" max="12038" width="17" style="5" bestFit="1" customWidth="1"/>
    <col min="12039" max="12039" width="16.7109375" style="5" bestFit="1" customWidth="1"/>
    <col min="12040" max="12040" width="18" style="5" bestFit="1" customWidth="1"/>
    <col min="12041" max="12041" width="17.7109375" style="5" bestFit="1" customWidth="1"/>
    <col min="12042" max="12042" width="13.5703125" style="5" customWidth="1"/>
    <col min="12043" max="12043" width="18.5703125" style="5" bestFit="1" customWidth="1"/>
    <col min="12044" max="12045" width="12.28515625" style="5" bestFit="1" customWidth="1"/>
    <col min="12046" max="12288" width="11.42578125" style="5"/>
    <col min="12289" max="12289" width="2.5703125" style="5" customWidth="1"/>
    <col min="12290" max="12290" width="22.42578125" style="5" customWidth="1"/>
    <col min="12291" max="12291" width="12.140625" style="5" bestFit="1" customWidth="1"/>
    <col min="12292" max="12292" width="8.140625" style="5" customWidth="1"/>
    <col min="12293" max="12293" width="8.5703125" style="5" customWidth="1"/>
    <col min="12294" max="12294" width="17" style="5" bestFit="1" customWidth="1"/>
    <col min="12295" max="12295" width="16.7109375" style="5" bestFit="1" customWidth="1"/>
    <col min="12296" max="12296" width="18" style="5" bestFit="1" customWidth="1"/>
    <col min="12297" max="12297" width="17.7109375" style="5" bestFit="1" customWidth="1"/>
    <col min="12298" max="12298" width="13.5703125" style="5" customWidth="1"/>
    <col min="12299" max="12299" width="18.5703125" style="5" bestFit="1" customWidth="1"/>
    <col min="12300" max="12301" width="12.28515625" style="5" bestFit="1" customWidth="1"/>
    <col min="12302" max="12544" width="11.42578125" style="5"/>
    <col min="12545" max="12545" width="2.5703125" style="5" customWidth="1"/>
    <col min="12546" max="12546" width="22.42578125" style="5" customWidth="1"/>
    <col min="12547" max="12547" width="12.140625" style="5" bestFit="1" customWidth="1"/>
    <col min="12548" max="12548" width="8.140625" style="5" customWidth="1"/>
    <col min="12549" max="12549" width="8.5703125" style="5" customWidth="1"/>
    <col min="12550" max="12550" width="17" style="5" bestFit="1" customWidth="1"/>
    <col min="12551" max="12551" width="16.7109375" style="5" bestFit="1" customWidth="1"/>
    <col min="12552" max="12552" width="18" style="5" bestFit="1" customWidth="1"/>
    <col min="12553" max="12553" width="17.7109375" style="5" bestFit="1" customWidth="1"/>
    <col min="12554" max="12554" width="13.5703125" style="5" customWidth="1"/>
    <col min="12555" max="12555" width="18.5703125" style="5" bestFit="1" customWidth="1"/>
    <col min="12556" max="12557" width="12.28515625" style="5" bestFit="1" customWidth="1"/>
    <col min="12558" max="12800" width="11.42578125" style="5"/>
    <col min="12801" max="12801" width="2.5703125" style="5" customWidth="1"/>
    <col min="12802" max="12802" width="22.42578125" style="5" customWidth="1"/>
    <col min="12803" max="12803" width="12.140625" style="5" bestFit="1" customWidth="1"/>
    <col min="12804" max="12804" width="8.140625" style="5" customWidth="1"/>
    <col min="12805" max="12805" width="8.5703125" style="5" customWidth="1"/>
    <col min="12806" max="12806" width="17" style="5" bestFit="1" customWidth="1"/>
    <col min="12807" max="12807" width="16.7109375" style="5" bestFit="1" customWidth="1"/>
    <col min="12808" max="12808" width="18" style="5" bestFit="1" customWidth="1"/>
    <col min="12809" max="12809" width="17.7109375" style="5" bestFit="1" customWidth="1"/>
    <col min="12810" max="12810" width="13.5703125" style="5" customWidth="1"/>
    <col min="12811" max="12811" width="18.5703125" style="5" bestFit="1" customWidth="1"/>
    <col min="12812" max="12813" width="12.28515625" style="5" bestFit="1" customWidth="1"/>
    <col min="12814" max="13056" width="11.42578125" style="5"/>
    <col min="13057" max="13057" width="2.5703125" style="5" customWidth="1"/>
    <col min="13058" max="13058" width="22.42578125" style="5" customWidth="1"/>
    <col min="13059" max="13059" width="12.140625" style="5" bestFit="1" customWidth="1"/>
    <col min="13060" max="13060" width="8.140625" style="5" customWidth="1"/>
    <col min="13061" max="13061" width="8.5703125" style="5" customWidth="1"/>
    <col min="13062" max="13062" width="17" style="5" bestFit="1" customWidth="1"/>
    <col min="13063" max="13063" width="16.7109375" style="5" bestFit="1" customWidth="1"/>
    <col min="13064" max="13064" width="18" style="5" bestFit="1" customWidth="1"/>
    <col min="13065" max="13065" width="17.7109375" style="5" bestFit="1" customWidth="1"/>
    <col min="13066" max="13066" width="13.5703125" style="5" customWidth="1"/>
    <col min="13067" max="13067" width="18.5703125" style="5" bestFit="1" customWidth="1"/>
    <col min="13068" max="13069" width="12.28515625" style="5" bestFit="1" customWidth="1"/>
    <col min="13070" max="13312" width="11.42578125" style="5"/>
    <col min="13313" max="13313" width="2.5703125" style="5" customWidth="1"/>
    <col min="13314" max="13314" width="22.42578125" style="5" customWidth="1"/>
    <col min="13315" max="13315" width="12.140625" style="5" bestFit="1" customWidth="1"/>
    <col min="13316" max="13316" width="8.140625" style="5" customWidth="1"/>
    <col min="13317" max="13317" width="8.5703125" style="5" customWidth="1"/>
    <col min="13318" max="13318" width="17" style="5" bestFit="1" customWidth="1"/>
    <col min="13319" max="13319" width="16.7109375" style="5" bestFit="1" customWidth="1"/>
    <col min="13320" max="13320" width="18" style="5" bestFit="1" customWidth="1"/>
    <col min="13321" max="13321" width="17.7109375" style="5" bestFit="1" customWidth="1"/>
    <col min="13322" max="13322" width="13.5703125" style="5" customWidth="1"/>
    <col min="13323" max="13323" width="18.5703125" style="5" bestFit="1" customWidth="1"/>
    <col min="13324" max="13325" width="12.28515625" style="5" bestFit="1" customWidth="1"/>
    <col min="13326" max="13568" width="11.42578125" style="5"/>
    <col min="13569" max="13569" width="2.5703125" style="5" customWidth="1"/>
    <col min="13570" max="13570" width="22.42578125" style="5" customWidth="1"/>
    <col min="13571" max="13571" width="12.140625" style="5" bestFit="1" customWidth="1"/>
    <col min="13572" max="13572" width="8.140625" style="5" customWidth="1"/>
    <col min="13573" max="13573" width="8.5703125" style="5" customWidth="1"/>
    <col min="13574" max="13574" width="17" style="5" bestFit="1" customWidth="1"/>
    <col min="13575" max="13575" width="16.7109375" style="5" bestFit="1" customWidth="1"/>
    <col min="13576" max="13576" width="18" style="5" bestFit="1" customWidth="1"/>
    <col min="13577" max="13577" width="17.7109375" style="5" bestFit="1" customWidth="1"/>
    <col min="13578" max="13578" width="13.5703125" style="5" customWidth="1"/>
    <col min="13579" max="13579" width="18.5703125" style="5" bestFit="1" customWidth="1"/>
    <col min="13580" max="13581" width="12.28515625" style="5" bestFit="1" customWidth="1"/>
    <col min="13582" max="13824" width="11.42578125" style="5"/>
    <col min="13825" max="13825" width="2.5703125" style="5" customWidth="1"/>
    <col min="13826" max="13826" width="22.42578125" style="5" customWidth="1"/>
    <col min="13827" max="13827" width="12.140625" style="5" bestFit="1" customWidth="1"/>
    <col min="13828" max="13828" width="8.140625" style="5" customWidth="1"/>
    <col min="13829" max="13829" width="8.5703125" style="5" customWidth="1"/>
    <col min="13830" max="13830" width="17" style="5" bestFit="1" customWidth="1"/>
    <col min="13831" max="13831" width="16.7109375" style="5" bestFit="1" customWidth="1"/>
    <col min="13832" max="13832" width="18" style="5" bestFit="1" customWidth="1"/>
    <col min="13833" max="13833" width="17.7109375" style="5" bestFit="1" customWidth="1"/>
    <col min="13834" max="13834" width="13.5703125" style="5" customWidth="1"/>
    <col min="13835" max="13835" width="18.5703125" style="5" bestFit="1" customWidth="1"/>
    <col min="13836" max="13837" width="12.28515625" style="5" bestFit="1" customWidth="1"/>
    <col min="13838" max="14080" width="11.42578125" style="5"/>
    <col min="14081" max="14081" width="2.5703125" style="5" customWidth="1"/>
    <col min="14082" max="14082" width="22.42578125" style="5" customWidth="1"/>
    <col min="14083" max="14083" width="12.140625" style="5" bestFit="1" customWidth="1"/>
    <col min="14084" max="14084" width="8.140625" style="5" customWidth="1"/>
    <col min="14085" max="14085" width="8.5703125" style="5" customWidth="1"/>
    <col min="14086" max="14086" width="17" style="5" bestFit="1" customWidth="1"/>
    <col min="14087" max="14087" width="16.7109375" style="5" bestFit="1" customWidth="1"/>
    <col min="14088" max="14088" width="18" style="5" bestFit="1" customWidth="1"/>
    <col min="14089" max="14089" width="17.7109375" style="5" bestFit="1" customWidth="1"/>
    <col min="14090" max="14090" width="13.5703125" style="5" customWidth="1"/>
    <col min="14091" max="14091" width="18.5703125" style="5" bestFit="1" customWidth="1"/>
    <col min="14092" max="14093" width="12.28515625" style="5" bestFit="1" customWidth="1"/>
    <col min="14094" max="14336" width="11.42578125" style="5"/>
    <col min="14337" max="14337" width="2.5703125" style="5" customWidth="1"/>
    <col min="14338" max="14338" width="22.42578125" style="5" customWidth="1"/>
    <col min="14339" max="14339" width="12.140625" style="5" bestFit="1" customWidth="1"/>
    <col min="14340" max="14340" width="8.140625" style="5" customWidth="1"/>
    <col min="14341" max="14341" width="8.5703125" style="5" customWidth="1"/>
    <col min="14342" max="14342" width="17" style="5" bestFit="1" customWidth="1"/>
    <col min="14343" max="14343" width="16.7109375" style="5" bestFit="1" customWidth="1"/>
    <col min="14344" max="14344" width="18" style="5" bestFit="1" customWidth="1"/>
    <col min="14345" max="14345" width="17.7109375" style="5" bestFit="1" customWidth="1"/>
    <col min="14346" max="14346" width="13.5703125" style="5" customWidth="1"/>
    <col min="14347" max="14347" width="18.5703125" style="5" bestFit="1" customWidth="1"/>
    <col min="14348" max="14349" width="12.28515625" style="5" bestFit="1" customWidth="1"/>
    <col min="14350" max="14592" width="11.42578125" style="5"/>
    <col min="14593" max="14593" width="2.5703125" style="5" customWidth="1"/>
    <col min="14594" max="14594" width="22.42578125" style="5" customWidth="1"/>
    <col min="14595" max="14595" width="12.140625" style="5" bestFit="1" customWidth="1"/>
    <col min="14596" max="14596" width="8.140625" style="5" customWidth="1"/>
    <col min="14597" max="14597" width="8.5703125" style="5" customWidth="1"/>
    <col min="14598" max="14598" width="17" style="5" bestFit="1" customWidth="1"/>
    <col min="14599" max="14599" width="16.7109375" style="5" bestFit="1" customWidth="1"/>
    <col min="14600" max="14600" width="18" style="5" bestFit="1" customWidth="1"/>
    <col min="14601" max="14601" width="17.7109375" style="5" bestFit="1" customWidth="1"/>
    <col min="14602" max="14602" width="13.5703125" style="5" customWidth="1"/>
    <col min="14603" max="14603" width="18.5703125" style="5" bestFit="1" customWidth="1"/>
    <col min="14604" max="14605" width="12.28515625" style="5" bestFit="1" customWidth="1"/>
    <col min="14606" max="14848" width="11.42578125" style="5"/>
    <col min="14849" max="14849" width="2.5703125" style="5" customWidth="1"/>
    <col min="14850" max="14850" width="22.42578125" style="5" customWidth="1"/>
    <col min="14851" max="14851" width="12.140625" style="5" bestFit="1" customWidth="1"/>
    <col min="14852" max="14852" width="8.140625" style="5" customWidth="1"/>
    <col min="14853" max="14853" width="8.5703125" style="5" customWidth="1"/>
    <col min="14854" max="14854" width="17" style="5" bestFit="1" customWidth="1"/>
    <col min="14855" max="14855" width="16.7109375" style="5" bestFit="1" customWidth="1"/>
    <col min="14856" max="14856" width="18" style="5" bestFit="1" customWidth="1"/>
    <col min="14857" max="14857" width="17.7109375" style="5" bestFit="1" customWidth="1"/>
    <col min="14858" max="14858" width="13.5703125" style="5" customWidth="1"/>
    <col min="14859" max="14859" width="18.5703125" style="5" bestFit="1" customWidth="1"/>
    <col min="14860" max="14861" width="12.28515625" style="5" bestFit="1" customWidth="1"/>
    <col min="14862" max="15104" width="11.42578125" style="5"/>
    <col min="15105" max="15105" width="2.5703125" style="5" customWidth="1"/>
    <col min="15106" max="15106" width="22.42578125" style="5" customWidth="1"/>
    <col min="15107" max="15107" width="12.140625" style="5" bestFit="1" customWidth="1"/>
    <col min="15108" max="15108" width="8.140625" style="5" customWidth="1"/>
    <col min="15109" max="15109" width="8.5703125" style="5" customWidth="1"/>
    <col min="15110" max="15110" width="17" style="5" bestFit="1" customWidth="1"/>
    <col min="15111" max="15111" width="16.7109375" style="5" bestFit="1" customWidth="1"/>
    <col min="15112" max="15112" width="18" style="5" bestFit="1" customWidth="1"/>
    <col min="15113" max="15113" width="17.7109375" style="5" bestFit="1" customWidth="1"/>
    <col min="15114" max="15114" width="13.5703125" style="5" customWidth="1"/>
    <col min="15115" max="15115" width="18.5703125" style="5" bestFit="1" customWidth="1"/>
    <col min="15116" max="15117" width="12.28515625" style="5" bestFit="1" customWidth="1"/>
    <col min="15118" max="15360" width="11.42578125" style="5"/>
    <col min="15361" max="15361" width="2.5703125" style="5" customWidth="1"/>
    <col min="15362" max="15362" width="22.42578125" style="5" customWidth="1"/>
    <col min="15363" max="15363" width="12.140625" style="5" bestFit="1" customWidth="1"/>
    <col min="15364" max="15364" width="8.140625" style="5" customWidth="1"/>
    <col min="15365" max="15365" width="8.5703125" style="5" customWidth="1"/>
    <col min="15366" max="15366" width="17" style="5" bestFit="1" customWidth="1"/>
    <col min="15367" max="15367" width="16.7109375" style="5" bestFit="1" customWidth="1"/>
    <col min="15368" max="15368" width="18" style="5" bestFit="1" customWidth="1"/>
    <col min="15369" max="15369" width="17.7109375" style="5" bestFit="1" customWidth="1"/>
    <col min="15370" max="15370" width="13.5703125" style="5" customWidth="1"/>
    <col min="15371" max="15371" width="18.5703125" style="5" bestFit="1" customWidth="1"/>
    <col min="15372" max="15373" width="12.28515625" style="5" bestFit="1" customWidth="1"/>
    <col min="15374" max="15616" width="11.42578125" style="5"/>
    <col min="15617" max="15617" width="2.5703125" style="5" customWidth="1"/>
    <col min="15618" max="15618" width="22.42578125" style="5" customWidth="1"/>
    <col min="15619" max="15619" width="12.140625" style="5" bestFit="1" customWidth="1"/>
    <col min="15620" max="15620" width="8.140625" style="5" customWidth="1"/>
    <col min="15621" max="15621" width="8.5703125" style="5" customWidth="1"/>
    <col min="15622" max="15622" width="17" style="5" bestFit="1" customWidth="1"/>
    <col min="15623" max="15623" width="16.7109375" style="5" bestFit="1" customWidth="1"/>
    <col min="15624" max="15624" width="18" style="5" bestFit="1" customWidth="1"/>
    <col min="15625" max="15625" width="17.7109375" style="5" bestFit="1" customWidth="1"/>
    <col min="15626" max="15626" width="13.5703125" style="5" customWidth="1"/>
    <col min="15627" max="15627" width="18.5703125" style="5" bestFit="1" customWidth="1"/>
    <col min="15628" max="15629" width="12.28515625" style="5" bestFit="1" customWidth="1"/>
    <col min="15630" max="15872" width="11.42578125" style="5"/>
    <col min="15873" max="15873" width="2.5703125" style="5" customWidth="1"/>
    <col min="15874" max="15874" width="22.42578125" style="5" customWidth="1"/>
    <col min="15875" max="15875" width="12.140625" style="5" bestFit="1" customWidth="1"/>
    <col min="15876" max="15876" width="8.140625" style="5" customWidth="1"/>
    <col min="15877" max="15877" width="8.5703125" style="5" customWidth="1"/>
    <col min="15878" max="15878" width="17" style="5" bestFit="1" customWidth="1"/>
    <col min="15879" max="15879" width="16.7109375" style="5" bestFit="1" customWidth="1"/>
    <col min="15880" max="15880" width="18" style="5" bestFit="1" customWidth="1"/>
    <col min="15881" max="15881" width="17.7109375" style="5" bestFit="1" customWidth="1"/>
    <col min="15882" max="15882" width="13.5703125" style="5" customWidth="1"/>
    <col min="15883" max="15883" width="18.5703125" style="5" bestFit="1" customWidth="1"/>
    <col min="15884" max="15885" width="12.28515625" style="5" bestFit="1" customWidth="1"/>
    <col min="15886" max="16128" width="11.42578125" style="5"/>
    <col min="16129" max="16129" width="2.5703125" style="5" customWidth="1"/>
    <col min="16130" max="16130" width="22.42578125" style="5" customWidth="1"/>
    <col min="16131" max="16131" width="12.140625" style="5" bestFit="1" customWidth="1"/>
    <col min="16132" max="16132" width="8.140625" style="5" customWidth="1"/>
    <col min="16133" max="16133" width="8.5703125" style="5" customWidth="1"/>
    <col min="16134" max="16134" width="17" style="5" bestFit="1" customWidth="1"/>
    <col min="16135" max="16135" width="16.7109375" style="5" bestFit="1" customWidth="1"/>
    <col min="16136" max="16136" width="18" style="5" bestFit="1" customWidth="1"/>
    <col min="16137" max="16137" width="17.7109375" style="5" bestFit="1" customWidth="1"/>
    <col min="16138" max="16138" width="13.5703125" style="5" customWidth="1"/>
    <col min="16139" max="16139" width="18.5703125" style="5" bestFit="1" customWidth="1"/>
    <col min="16140" max="16141" width="12.28515625" style="5" bestFit="1" customWidth="1"/>
    <col min="16142" max="16384" width="11.42578125" style="5"/>
  </cols>
  <sheetData>
    <row r="1" spans="1:13" x14ac:dyDescent="0.2">
      <c r="A1" s="2" t="s">
        <v>87</v>
      </c>
      <c r="B1" s="2"/>
      <c r="C1" s="3"/>
      <c r="D1" s="3"/>
      <c r="E1" s="4"/>
    </row>
    <row r="2" spans="1:13" x14ac:dyDescent="0.2">
      <c r="A2" s="6" t="s">
        <v>0</v>
      </c>
      <c r="B2" s="6"/>
      <c r="C2" s="3"/>
      <c r="D2" s="3"/>
    </row>
    <row r="3" spans="1:13" x14ac:dyDescent="0.2">
      <c r="A3" s="7" t="s">
        <v>79</v>
      </c>
      <c r="B3" s="6"/>
      <c r="C3" s="3"/>
      <c r="D3" s="3"/>
      <c r="M3" s="8"/>
    </row>
    <row r="4" spans="1:13" x14ac:dyDescent="0.2">
      <c r="A4" s="9" t="s">
        <v>2</v>
      </c>
      <c r="B4" s="9"/>
      <c r="C4" s="10" t="s">
        <v>3</v>
      </c>
      <c r="D4" s="71" t="s">
        <v>4</v>
      </c>
      <c r="E4" s="71"/>
      <c r="F4" s="10" t="s">
        <v>5</v>
      </c>
      <c r="G4" s="11" t="s">
        <v>6</v>
      </c>
      <c r="H4" s="11" t="s">
        <v>7</v>
      </c>
      <c r="I4" s="10" t="s">
        <v>8</v>
      </c>
      <c r="J4" s="10" t="s">
        <v>9</v>
      </c>
      <c r="K4" s="10" t="s">
        <v>9</v>
      </c>
      <c r="L4" s="10" t="s">
        <v>9</v>
      </c>
      <c r="M4" s="10" t="s">
        <v>9</v>
      </c>
    </row>
    <row r="5" spans="1:13" x14ac:dyDescent="0.2">
      <c r="C5" s="12" t="s">
        <v>10</v>
      </c>
      <c r="D5" s="13" t="s">
        <v>11</v>
      </c>
      <c r="E5" s="13" t="s">
        <v>12</v>
      </c>
      <c r="F5" s="12" t="s">
        <v>13</v>
      </c>
      <c r="G5" s="12" t="s">
        <v>14</v>
      </c>
      <c r="H5" s="13" t="s">
        <v>15</v>
      </c>
      <c r="I5" s="13" t="s">
        <v>16</v>
      </c>
      <c r="J5" s="13" t="s">
        <v>17</v>
      </c>
      <c r="K5" s="13" t="s">
        <v>18</v>
      </c>
      <c r="L5" s="66" t="s">
        <v>19</v>
      </c>
      <c r="M5" s="15" t="s">
        <v>20</v>
      </c>
    </row>
    <row r="6" spans="1:13" x14ac:dyDescent="0.2">
      <c r="A6" s="8"/>
      <c r="B6" s="8"/>
      <c r="C6" s="8"/>
      <c r="D6" s="8"/>
      <c r="E6" s="8"/>
      <c r="F6" s="16" t="s">
        <v>21</v>
      </c>
      <c r="G6" s="16" t="s">
        <v>10</v>
      </c>
      <c r="H6" s="16" t="s">
        <v>21</v>
      </c>
      <c r="I6" s="18"/>
      <c r="J6" s="8"/>
      <c r="K6" s="8"/>
      <c r="L6" s="8"/>
      <c r="M6" s="8"/>
    </row>
    <row r="7" spans="1:13" x14ac:dyDescent="0.2">
      <c r="F7" s="12"/>
      <c r="G7" s="19"/>
      <c r="H7" s="12"/>
      <c r="I7" s="13"/>
    </row>
    <row r="8" spans="1:13" x14ac:dyDescent="0.2">
      <c r="A8" s="72" t="s">
        <v>80</v>
      </c>
      <c r="B8" s="72"/>
      <c r="C8" s="5">
        <v>1639206</v>
      </c>
      <c r="D8" s="20">
        <v>1.86</v>
      </c>
      <c r="E8" s="20">
        <v>1.05</v>
      </c>
      <c r="F8" s="5">
        <v>3378080</v>
      </c>
      <c r="G8" s="5">
        <f>+J8+K8+L8+M8</f>
        <v>3382165</v>
      </c>
      <c r="H8" s="21">
        <f t="shared" ref="H8:H33" si="0">G8-F8</f>
        <v>4085</v>
      </c>
      <c r="I8" s="5">
        <v>50082</v>
      </c>
      <c r="J8" s="5">
        <v>0</v>
      </c>
      <c r="K8" s="5">
        <f>151662+1036695+559906</f>
        <v>1748263</v>
      </c>
      <c r="L8" s="5">
        <v>0</v>
      </c>
      <c r="M8" s="5">
        <v>1633902</v>
      </c>
    </row>
    <row r="9" spans="1:13" s="21" customFormat="1" x14ac:dyDescent="0.2">
      <c r="A9" s="1" t="s">
        <v>23</v>
      </c>
      <c r="B9" s="7"/>
      <c r="C9" s="5">
        <v>6943893</v>
      </c>
      <c r="D9" s="20">
        <v>1</v>
      </c>
      <c r="E9" s="20">
        <v>0.3</v>
      </c>
      <c r="F9" s="5">
        <v>23208499</v>
      </c>
      <c r="G9" s="21">
        <f t="shared" ref="G9:G34" si="1">+J9+K9+L9+M9</f>
        <v>27614507</v>
      </c>
      <c r="H9" s="21">
        <f t="shared" si="0"/>
        <v>4406008</v>
      </c>
      <c r="I9" s="5">
        <v>11304622</v>
      </c>
      <c r="J9" s="5">
        <v>0</v>
      </c>
      <c r="K9" s="5">
        <f>1704645+14115447+576213</f>
        <v>16396305</v>
      </c>
      <c r="L9" s="5">
        <v>25324</v>
      </c>
      <c r="M9" s="5">
        <v>11192878</v>
      </c>
    </row>
    <row r="10" spans="1:13" s="21" customFormat="1" x14ac:dyDescent="0.2">
      <c r="A10" s="1" t="s">
        <v>24</v>
      </c>
      <c r="B10" s="1"/>
      <c r="C10" s="5">
        <v>3606675</v>
      </c>
      <c r="D10" s="20">
        <v>3.13</v>
      </c>
      <c r="E10" s="20">
        <v>0.96</v>
      </c>
      <c r="F10" s="5">
        <v>11977340</v>
      </c>
      <c r="G10" s="21">
        <f t="shared" si="1"/>
        <v>13967634</v>
      </c>
      <c r="H10" s="21">
        <f t="shared" si="0"/>
        <v>1990294</v>
      </c>
      <c r="I10" s="5">
        <v>144611</v>
      </c>
      <c r="J10" s="5">
        <v>0</v>
      </c>
      <c r="K10" s="5">
        <f>1130838+6959727+7382+296641</f>
        <v>8394588</v>
      </c>
      <c r="L10" s="5">
        <v>0</v>
      </c>
      <c r="M10" s="5">
        <v>5573046</v>
      </c>
    </row>
    <row r="11" spans="1:13" x14ac:dyDescent="0.2">
      <c r="A11" s="1" t="s">
        <v>25</v>
      </c>
      <c r="B11" s="1"/>
      <c r="C11" s="5">
        <v>2674599</v>
      </c>
      <c r="D11" s="20">
        <v>3.16</v>
      </c>
      <c r="E11" s="20">
        <v>0.12</v>
      </c>
      <c r="F11" s="5">
        <v>34658510</v>
      </c>
      <c r="G11" s="5">
        <f>+J11+K11+L11+M11</f>
        <v>41173359</v>
      </c>
      <c r="H11" s="21">
        <f>G11-F11</f>
        <v>6514849</v>
      </c>
      <c r="I11" s="5">
        <v>1688192</v>
      </c>
      <c r="J11" s="5">
        <v>29520053</v>
      </c>
      <c r="K11" s="5">
        <f>394542+2069316</f>
        <v>2463858</v>
      </c>
      <c r="L11" s="5">
        <v>0</v>
      </c>
      <c r="M11" s="5">
        <v>9189448</v>
      </c>
    </row>
    <row r="12" spans="1:13" x14ac:dyDescent="0.2">
      <c r="A12" s="1" t="s">
        <v>26</v>
      </c>
      <c r="B12" s="1"/>
      <c r="C12" s="5">
        <v>4386800</v>
      </c>
      <c r="D12" s="20">
        <v>4.2</v>
      </c>
      <c r="E12" s="20">
        <v>0.65</v>
      </c>
      <c r="F12" s="5">
        <v>33028417</v>
      </c>
      <c r="G12" s="21">
        <f>+J12+K12+L12+M12</f>
        <v>38157735</v>
      </c>
      <c r="H12" s="21">
        <f>G12-F12</f>
        <v>5129318</v>
      </c>
      <c r="I12" s="5">
        <v>976055</v>
      </c>
      <c r="J12" s="5">
        <v>17116323</v>
      </c>
      <c r="K12" s="5">
        <f>1431158+4518647+261388+5334036</f>
        <v>11545229</v>
      </c>
      <c r="L12" s="5">
        <v>0</v>
      </c>
      <c r="M12" s="5">
        <v>9496183</v>
      </c>
    </row>
    <row r="13" spans="1:13" x14ac:dyDescent="0.2">
      <c r="A13" s="73" t="s">
        <v>27</v>
      </c>
      <c r="B13" s="74"/>
      <c r="C13" s="5">
        <v>25796681</v>
      </c>
      <c r="D13" s="20">
        <v>13.39</v>
      </c>
      <c r="E13" s="20">
        <v>0.39</v>
      </c>
      <c r="F13" s="5">
        <v>387195616</v>
      </c>
      <c r="G13" s="5">
        <f>+J13+K13+L13+M13</f>
        <v>389267082</v>
      </c>
      <c r="H13" s="21">
        <f t="shared" si="0"/>
        <v>2071466</v>
      </c>
      <c r="I13" s="5">
        <v>5376048</v>
      </c>
      <c r="J13" s="5">
        <v>359314455</v>
      </c>
      <c r="K13" s="5">
        <f>589323+3566623</f>
        <v>4155946</v>
      </c>
      <c r="L13" s="5">
        <v>0</v>
      </c>
      <c r="M13" s="5">
        <v>25796681</v>
      </c>
    </row>
    <row r="14" spans="1:13" s="21" customFormat="1" x14ac:dyDescent="0.2">
      <c r="A14" s="1" t="s">
        <v>28</v>
      </c>
      <c r="B14" s="7"/>
      <c r="C14" s="5">
        <v>3686939</v>
      </c>
      <c r="D14" s="20">
        <v>2.4</v>
      </c>
      <c r="E14" s="20">
        <v>0.66</v>
      </c>
      <c r="F14" s="5">
        <v>13433166</v>
      </c>
      <c r="G14" s="21">
        <f>+J14+K14+L14+M14</f>
        <v>15024100</v>
      </c>
      <c r="H14" s="21">
        <f t="shared" si="0"/>
        <v>1590934</v>
      </c>
      <c r="I14" s="5">
        <v>142667</v>
      </c>
      <c r="J14" s="5">
        <v>0</v>
      </c>
      <c r="K14" s="5">
        <f>1838705+7907522</f>
        <v>9746227</v>
      </c>
      <c r="L14" s="5">
        <v>0</v>
      </c>
      <c r="M14" s="5">
        <v>5277873</v>
      </c>
    </row>
    <row r="15" spans="1:13" x14ac:dyDescent="0.2">
      <c r="A15" s="1" t="s">
        <v>29</v>
      </c>
      <c r="B15" s="7"/>
      <c r="C15" s="5">
        <v>36405041</v>
      </c>
      <c r="D15" s="20">
        <v>7.84</v>
      </c>
      <c r="E15" s="20">
        <v>0.2</v>
      </c>
      <c r="F15" s="5">
        <v>542757804</v>
      </c>
      <c r="G15" s="5">
        <f t="shared" si="1"/>
        <v>565915111</v>
      </c>
      <c r="H15" s="21">
        <f t="shared" si="0"/>
        <v>23157307</v>
      </c>
      <c r="I15" s="5">
        <v>1526638</v>
      </c>
      <c r="J15" s="5">
        <v>468073112</v>
      </c>
      <c r="K15" s="5">
        <f>9084448+29527524+848008+21905762</f>
        <v>61365742</v>
      </c>
      <c r="L15" s="5">
        <v>71216</v>
      </c>
      <c r="M15" s="5">
        <v>36405041</v>
      </c>
    </row>
    <row r="16" spans="1:13" s="23" customFormat="1" x14ac:dyDescent="0.2">
      <c r="A16" s="1" t="s">
        <v>30</v>
      </c>
      <c r="B16" s="1"/>
      <c r="C16" s="21">
        <v>7071644</v>
      </c>
      <c r="D16" s="22">
        <v>5.37</v>
      </c>
      <c r="E16" s="22">
        <v>0.13</v>
      </c>
      <c r="F16" s="21">
        <v>98098557</v>
      </c>
      <c r="G16" s="21">
        <f t="shared" si="1"/>
        <v>108374848</v>
      </c>
      <c r="H16" s="21">
        <f t="shared" si="0"/>
        <v>10276291</v>
      </c>
      <c r="I16" s="21">
        <v>206943</v>
      </c>
      <c r="J16" s="21">
        <v>97067363</v>
      </c>
      <c r="K16" s="21">
        <f>1660130+1673542+902169</f>
        <v>4235841</v>
      </c>
      <c r="L16" s="21">
        <v>0</v>
      </c>
      <c r="M16" s="21">
        <v>7071644</v>
      </c>
    </row>
    <row r="17" spans="1:13" x14ac:dyDescent="0.2">
      <c r="A17" s="1" t="s">
        <v>31</v>
      </c>
      <c r="B17" s="7"/>
      <c r="C17" s="5">
        <v>18817935</v>
      </c>
      <c r="D17" s="20">
        <v>7.04</v>
      </c>
      <c r="E17" s="20">
        <v>0.15</v>
      </c>
      <c r="F17" s="5">
        <v>292256342</v>
      </c>
      <c r="G17" s="5">
        <f>+J17+K17+L17+M17</f>
        <v>305077745</v>
      </c>
      <c r="H17" s="21">
        <f t="shared" si="0"/>
        <v>12821403</v>
      </c>
      <c r="I17" s="5">
        <v>564123</v>
      </c>
      <c r="J17" s="5">
        <v>272050641</v>
      </c>
      <c r="K17" s="5">
        <f>26386+1361380</f>
        <v>1387766</v>
      </c>
      <c r="L17" s="5">
        <v>0</v>
      </c>
      <c r="M17" s="5">
        <v>31639338</v>
      </c>
    </row>
    <row r="18" spans="1:13" x14ac:dyDescent="0.2">
      <c r="A18" s="1" t="s">
        <v>32</v>
      </c>
      <c r="B18" s="1"/>
      <c r="C18" s="5">
        <v>158967527</v>
      </c>
      <c r="D18" s="20">
        <v>8.0299999999999994</v>
      </c>
      <c r="E18" s="20">
        <v>0.87</v>
      </c>
      <c r="F18" s="5">
        <v>1508460836</v>
      </c>
      <c r="G18" s="5">
        <f t="shared" si="1"/>
        <v>1542750916</v>
      </c>
      <c r="H18" s="21">
        <f t="shared" si="0"/>
        <v>34290080</v>
      </c>
      <c r="I18" s="5">
        <v>36333163</v>
      </c>
      <c r="J18" s="5">
        <v>1247006167</v>
      </c>
      <c r="K18" s="5">
        <f>2379057+39920557+8364598+37393923</f>
        <v>88058135</v>
      </c>
      <c r="L18" s="5">
        <v>9479871</v>
      </c>
      <c r="M18" s="5">
        <v>198206743</v>
      </c>
    </row>
    <row r="19" spans="1:13" x14ac:dyDescent="0.2">
      <c r="A19" s="1" t="s">
        <v>33</v>
      </c>
      <c r="B19" s="1"/>
      <c r="C19" s="5">
        <v>51716755</v>
      </c>
      <c r="D19" s="20">
        <v>9.1999999999999993</v>
      </c>
      <c r="E19" s="20">
        <v>0.1</v>
      </c>
      <c r="F19" s="5">
        <v>792724141</v>
      </c>
      <c r="G19" s="5">
        <f t="shared" si="1"/>
        <v>813392127</v>
      </c>
      <c r="H19" s="21">
        <f t="shared" si="0"/>
        <v>20667986</v>
      </c>
      <c r="I19" s="5">
        <v>5315969</v>
      </c>
      <c r="J19" s="5">
        <v>734628227</v>
      </c>
      <c r="K19" s="5">
        <f>1724610+22374069+12613+2749417</f>
        <v>26860709</v>
      </c>
      <c r="L19" s="5">
        <v>186436</v>
      </c>
      <c r="M19" s="5">
        <v>51716755</v>
      </c>
    </row>
    <row r="20" spans="1:13" x14ac:dyDescent="0.2">
      <c r="A20" s="1" t="s">
        <v>34</v>
      </c>
      <c r="B20" s="1"/>
      <c r="C20" s="5">
        <v>19870277</v>
      </c>
      <c r="D20" s="20">
        <v>7.96</v>
      </c>
      <c r="E20" s="20">
        <v>0.24</v>
      </c>
      <c r="F20" s="5">
        <v>261121598</v>
      </c>
      <c r="G20" s="5">
        <f t="shared" si="1"/>
        <v>271986841</v>
      </c>
      <c r="H20" s="21">
        <f t="shared" si="0"/>
        <v>10865243</v>
      </c>
      <c r="I20" s="5">
        <v>3421423</v>
      </c>
      <c r="J20" s="5">
        <v>222332438</v>
      </c>
      <c r="K20" s="5">
        <f>1814206+6421006+1137262+9782448</f>
        <v>19154922</v>
      </c>
      <c r="L20" s="5">
        <v>34097</v>
      </c>
      <c r="M20" s="5">
        <v>30465384</v>
      </c>
    </row>
    <row r="21" spans="1:13" x14ac:dyDescent="0.2">
      <c r="A21" s="1" t="s">
        <v>35</v>
      </c>
      <c r="B21" s="1"/>
      <c r="C21" s="5">
        <v>22315531</v>
      </c>
      <c r="D21" s="20">
        <v>11.61</v>
      </c>
      <c r="E21" s="20">
        <v>0.7</v>
      </c>
      <c r="F21" s="5">
        <v>338244291</v>
      </c>
      <c r="G21" s="5">
        <f t="shared" si="1"/>
        <v>352375241</v>
      </c>
      <c r="H21" s="21">
        <f t="shared" si="0"/>
        <v>14130950</v>
      </c>
      <c r="I21" s="5">
        <v>937190</v>
      </c>
      <c r="J21" s="5">
        <v>270868596</v>
      </c>
      <c r="K21" s="5">
        <f>2023536+12055385+12745655+18653589</f>
        <v>45478165</v>
      </c>
      <c r="L21" s="5">
        <v>143518</v>
      </c>
      <c r="M21" s="5">
        <v>35884962</v>
      </c>
    </row>
    <row r="22" spans="1:13" x14ac:dyDescent="0.2">
      <c r="A22" s="1" t="s">
        <v>36</v>
      </c>
      <c r="B22" s="1"/>
      <c r="C22" s="5">
        <v>1531346</v>
      </c>
      <c r="D22" s="20">
        <v>1.69</v>
      </c>
      <c r="E22" s="20">
        <v>0.28000000000000003</v>
      </c>
      <c r="F22" s="5">
        <v>5035031</v>
      </c>
      <c r="G22" s="5">
        <f t="shared" si="1"/>
        <v>6383397</v>
      </c>
      <c r="H22" s="21">
        <f t="shared" si="0"/>
        <v>1348366</v>
      </c>
      <c r="I22" s="5">
        <v>16226</v>
      </c>
      <c r="J22" s="5">
        <v>0</v>
      </c>
      <c r="K22" s="5">
        <f>60849+3442836</f>
        <v>3503685</v>
      </c>
      <c r="L22" s="5">
        <v>0</v>
      </c>
      <c r="M22" s="5">
        <v>2879712</v>
      </c>
    </row>
    <row r="23" spans="1:13" s="3" customFormat="1" x14ac:dyDescent="0.2">
      <c r="A23" s="1" t="s">
        <v>37</v>
      </c>
      <c r="B23" s="1"/>
      <c r="C23" s="5">
        <v>78771341</v>
      </c>
      <c r="D23" s="20">
        <v>8.7100000000000009</v>
      </c>
      <c r="E23" s="20">
        <v>0.22</v>
      </c>
      <c r="F23" s="5">
        <v>1199243156</v>
      </c>
      <c r="G23" s="21">
        <f t="shared" si="1"/>
        <v>1232103537</v>
      </c>
      <c r="H23" s="21">
        <f t="shared" si="0"/>
        <v>32860381</v>
      </c>
      <c r="I23" s="5">
        <v>7675860</v>
      </c>
      <c r="J23" s="5">
        <v>1030397798</v>
      </c>
      <c r="K23" s="5">
        <f>3725688+43676352+12645094+29482506</f>
        <v>89529640</v>
      </c>
      <c r="L23" s="5">
        <v>123829</v>
      </c>
      <c r="M23" s="5">
        <v>112052270</v>
      </c>
    </row>
    <row r="24" spans="1:13" s="3" customFormat="1" x14ac:dyDescent="0.2">
      <c r="A24" s="1" t="s">
        <v>38</v>
      </c>
      <c r="B24" s="1"/>
      <c r="C24" s="5">
        <v>10995526</v>
      </c>
      <c r="D24" s="20">
        <v>2.91</v>
      </c>
      <c r="E24" s="20">
        <v>0.34</v>
      </c>
      <c r="F24" s="5">
        <v>115724693</v>
      </c>
      <c r="G24" s="21">
        <f t="shared" si="1"/>
        <v>131025959</v>
      </c>
      <c r="H24" s="21">
        <f>G24-F24</f>
        <v>15301266</v>
      </c>
      <c r="I24" s="5">
        <v>9664918</v>
      </c>
      <c r="J24" s="5">
        <v>32928815</v>
      </c>
      <c r="K24" s="5">
        <f>3794785+42141592+170879+26840723</f>
        <v>72947979</v>
      </c>
      <c r="L24" s="5">
        <v>0</v>
      </c>
      <c r="M24" s="5">
        <v>25149165</v>
      </c>
    </row>
    <row r="25" spans="1:13" x14ac:dyDescent="0.2">
      <c r="A25" s="1" t="s">
        <v>81</v>
      </c>
      <c r="B25" s="7"/>
      <c r="C25" s="5">
        <v>28492251</v>
      </c>
      <c r="D25" s="20">
        <v>11.96</v>
      </c>
      <c r="E25" s="20">
        <v>0.82</v>
      </c>
      <c r="F25" s="5">
        <v>416217013</v>
      </c>
      <c r="G25" s="5">
        <f t="shared" si="1"/>
        <v>421294044</v>
      </c>
      <c r="H25" s="21">
        <f>G25-F25</f>
        <v>5077031</v>
      </c>
      <c r="I25" s="5">
        <v>99777</v>
      </c>
      <c r="J25" s="5">
        <v>360978409</v>
      </c>
      <c r="K25" s="5">
        <v>26746352</v>
      </c>
      <c r="L25" s="5">
        <v>0</v>
      </c>
      <c r="M25" s="5">
        <v>33569283</v>
      </c>
    </row>
    <row r="26" spans="1:13" s="21" customFormat="1" x14ac:dyDescent="0.2">
      <c r="A26" s="1" t="s">
        <v>40</v>
      </c>
      <c r="B26" s="1"/>
      <c r="C26" s="5">
        <v>1955433</v>
      </c>
      <c r="D26" s="20">
        <v>3.68</v>
      </c>
      <c r="E26" s="20">
        <v>0.5</v>
      </c>
      <c r="F26" s="5">
        <v>14646325</v>
      </c>
      <c r="G26" s="21">
        <f t="shared" si="1"/>
        <v>15671338</v>
      </c>
      <c r="H26" s="21">
        <f t="shared" ref="H26:H32" si="2">G26-F26</f>
        <v>1025013</v>
      </c>
      <c r="I26" s="5">
        <v>36363</v>
      </c>
      <c r="J26" s="5">
        <v>11076383</v>
      </c>
      <c r="K26" s="5">
        <f>1099474+340440+173345</f>
        <v>1613259</v>
      </c>
      <c r="L26" s="5">
        <v>4845</v>
      </c>
      <c r="M26" s="5">
        <v>2976851</v>
      </c>
    </row>
    <row r="27" spans="1:13" s="21" customFormat="1" x14ac:dyDescent="0.2">
      <c r="A27" s="1" t="s">
        <v>41</v>
      </c>
      <c r="B27" s="1"/>
      <c r="C27" s="5">
        <v>60967801</v>
      </c>
      <c r="D27" s="20">
        <v>8.15</v>
      </c>
      <c r="E27" s="20">
        <v>0.28999999999999998</v>
      </c>
      <c r="F27" s="5">
        <v>923746383</v>
      </c>
      <c r="G27" s="21">
        <f t="shared" si="1"/>
        <v>936886197</v>
      </c>
      <c r="H27" s="21">
        <f t="shared" si="2"/>
        <v>13139814</v>
      </c>
      <c r="I27" s="5">
        <v>14050801</v>
      </c>
      <c r="J27" s="5">
        <v>850433294</v>
      </c>
      <c r="K27" s="5">
        <f>1025543+4895823+629503+18819878</f>
        <v>25370747</v>
      </c>
      <c r="L27" s="5">
        <v>114355</v>
      </c>
      <c r="M27" s="5">
        <v>60967801</v>
      </c>
    </row>
    <row r="28" spans="1:13" x14ac:dyDescent="0.2">
      <c r="A28" s="1" t="s">
        <v>42</v>
      </c>
      <c r="B28" s="1"/>
      <c r="C28" s="5">
        <v>16653609</v>
      </c>
      <c r="D28" s="20">
        <v>10.36</v>
      </c>
      <c r="E28" s="20">
        <v>0.06</v>
      </c>
      <c r="F28" s="5">
        <v>259978927</v>
      </c>
      <c r="G28" s="5">
        <f t="shared" si="1"/>
        <v>264260428</v>
      </c>
      <c r="H28" s="21">
        <f t="shared" si="2"/>
        <v>4281501</v>
      </c>
      <c r="I28" s="5">
        <v>177246</v>
      </c>
      <c r="J28" s="5">
        <v>240310278</v>
      </c>
      <c r="K28" s="5">
        <f>341728+2673312</f>
        <v>3015040</v>
      </c>
      <c r="L28" s="5">
        <v>0</v>
      </c>
      <c r="M28" s="5">
        <v>20935110</v>
      </c>
    </row>
    <row r="29" spans="1:13" s="21" customFormat="1" x14ac:dyDescent="0.2">
      <c r="A29" s="1" t="s">
        <v>43</v>
      </c>
      <c r="B29" s="7"/>
      <c r="C29" s="5">
        <v>30259715</v>
      </c>
      <c r="D29" s="20">
        <v>8.86</v>
      </c>
      <c r="E29" s="20">
        <v>0.11</v>
      </c>
      <c r="F29" s="5">
        <v>470790772</v>
      </c>
      <c r="G29" s="21">
        <f>+J29+K29+L29+M29</f>
        <v>480007691</v>
      </c>
      <c r="H29" s="21">
        <f>G29-F29</f>
        <v>9216919</v>
      </c>
      <c r="I29" s="5">
        <v>3757177</v>
      </c>
      <c r="J29" s="5">
        <v>431544533</v>
      </c>
      <c r="K29" s="5">
        <f>317586+1702553+7865206</f>
        <v>9885345</v>
      </c>
      <c r="L29" s="5">
        <v>35266</v>
      </c>
      <c r="M29" s="5">
        <v>38542547</v>
      </c>
    </row>
    <row r="30" spans="1:13" s="21" customFormat="1" x14ac:dyDescent="0.2">
      <c r="A30" s="1" t="s">
        <v>44</v>
      </c>
      <c r="B30" s="7"/>
      <c r="C30" s="5">
        <v>54987675</v>
      </c>
      <c r="D30" s="20">
        <v>11.76</v>
      </c>
      <c r="E30" s="20">
        <v>0.33</v>
      </c>
      <c r="F30" s="5">
        <v>852519662</v>
      </c>
      <c r="G30" s="21">
        <f t="shared" si="1"/>
        <v>858126101</v>
      </c>
      <c r="H30" s="21">
        <f t="shared" si="2"/>
        <v>5606439</v>
      </c>
      <c r="I30" s="5">
        <v>5744478</v>
      </c>
      <c r="J30" s="5">
        <v>792212846</v>
      </c>
      <c r="K30" s="5">
        <f>821320+3341227+339286+878129</f>
        <v>5379962</v>
      </c>
      <c r="L30" s="5">
        <v>0</v>
      </c>
      <c r="M30" s="5">
        <v>60533293</v>
      </c>
    </row>
    <row r="31" spans="1:13" x14ac:dyDescent="0.2">
      <c r="A31" s="1" t="s">
        <v>45</v>
      </c>
      <c r="B31" s="1"/>
      <c r="C31" s="5">
        <v>16971754</v>
      </c>
      <c r="D31" s="20">
        <v>8.4</v>
      </c>
      <c r="E31" s="20">
        <v>0.19</v>
      </c>
      <c r="F31" s="5">
        <v>265789333</v>
      </c>
      <c r="G31" s="5">
        <f t="shared" si="1"/>
        <v>267474089</v>
      </c>
      <c r="H31" s="21">
        <f t="shared" si="2"/>
        <v>1684756</v>
      </c>
      <c r="I31" s="5">
        <v>13340292</v>
      </c>
      <c r="J31" s="5">
        <v>247811439</v>
      </c>
      <c r="K31" s="5">
        <f>603210+178078+303248</f>
        <v>1084536</v>
      </c>
      <c r="L31" s="5">
        <v>1446</v>
      </c>
      <c r="M31" s="5">
        <v>18576668</v>
      </c>
    </row>
    <row r="32" spans="1:13" s="21" customFormat="1" x14ac:dyDescent="0.2">
      <c r="A32" s="1" t="s">
        <v>46</v>
      </c>
      <c r="B32" s="1"/>
      <c r="C32" s="5">
        <v>5482089</v>
      </c>
      <c r="D32" s="20">
        <v>7.3</v>
      </c>
      <c r="E32" s="20">
        <v>0.65</v>
      </c>
      <c r="F32" s="5">
        <v>53852045</v>
      </c>
      <c r="G32" s="5">
        <f t="shared" si="1"/>
        <v>53958456</v>
      </c>
      <c r="H32" s="21">
        <f t="shared" si="2"/>
        <v>106411</v>
      </c>
      <c r="I32" s="5">
        <v>686919</v>
      </c>
      <c r="J32" s="5">
        <v>38321139</v>
      </c>
      <c r="K32" s="5">
        <f>1442515+2662672+3080590+2590069</f>
        <v>9775846</v>
      </c>
      <c r="L32" s="5">
        <v>288673</v>
      </c>
      <c r="M32" s="5">
        <v>5572798</v>
      </c>
    </row>
    <row r="33" spans="1:13" x14ac:dyDescent="0.2">
      <c r="A33" s="1" t="s">
        <v>47</v>
      </c>
      <c r="B33" s="1"/>
      <c r="C33" s="5">
        <v>47812613</v>
      </c>
      <c r="D33" s="20">
        <v>9.73</v>
      </c>
      <c r="E33" s="20">
        <v>0.06</v>
      </c>
      <c r="F33" s="5">
        <v>752092506</v>
      </c>
      <c r="G33" s="21">
        <f t="shared" si="1"/>
        <v>768439791</v>
      </c>
      <c r="H33" s="21">
        <f t="shared" si="0"/>
        <v>16347285</v>
      </c>
      <c r="I33" s="5">
        <v>2092850</v>
      </c>
      <c r="J33" s="5">
        <v>690403885</v>
      </c>
      <c r="K33" s="5">
        <f>630687+6004634+1645676+5655984</f>
        <v>13936981</v>
      </c>
      <c r="L33" s="5">
        <v>0</v>
      </c>
      <c r="M33" s="5">
        <v>64098925</v>
      </c>
    </row>
    <row r="34" spans="1:13" x14ac:dyDescent="0.2">
      <c r="A34" s="1" t="s">
        <v>48</v>
      </c>
      <c r="B34" s="1"/>
      <c r="C34" s="5">
        <v>2442325</v>
      </c>
      <c r="D34" s="20">
        <v>5.94</v>
      </c>
      <c r="E34" s="20">
        <v>0.24</v>
      </c>
      <c r="F34" s="5">
        <v>37619852</v>
      </c>
      <c r="G34" s="5">
        <f t="shared" si="1"/>
        <v>42666498</v>
      </c>
      <c r="H34" s="21">
        <f>G34-F34</f>
        <v>5046646</v>
      </c>
      <c r="I34" s="5">
        <v>83054</v>
      </c>
      <c r="J34" s="5">
        <v>35177527</v>
      </c>
      <c r="K34" s="5">
        <v>0</v>
      </c>
      <c r="L34" s="5">
        <v>0</v>
      </c>
      <c r="M34" s="5">
        <v>7488971</v>
      </c>
    </row>
    <row r="35" spans="1:13" x14ac:dyDescent="0.2">
      <c r="A35" s="24" t="s">
        <v>49</v>
      </c>
      <c r="B35" s="24"/>
      <c r="C35" s="25">
        <f>SUM(C8:C34)</f>
        <v>721222981</v>
      </c>
      <c r="D35" s="26"/>
      <c r="E35" s="26"/>
      <c r="F35" s="25">
        <f t="shared" ref="F35:K35" si="3">SUM(F8:F34)</f>
        <v>9707798895</v>
      </c>
      <c r="G35" s="25">
        <f t="shared" si="3"/>
        <v>9966756937</v>
      </c>
      <c r="H35" s="25">
        <f t="shared" si="3"/>
        <v>258958042</v>
      </c>
      <c r="I35" s="25">
        <f t="shared" si="3"/>
        <v>125413687</v>
      </c>
      <c r="J35" s="25">
        <f t="shared" si="3"/>
        <v>8479573721</v>
      </c>
      <c r="K35" s="25">
        <f t="shared" si="3"/>
        <v>563781068</v>
      </c>
      <c r="L35" s="25">
        <f>SUM(L8:L34)</f>
        <v>10508876</v>
      </c>
      <c r="M35" s="25">
        <f>SUM(M8:M34)</f>
        <v>912893272</v>
      </c>
    </row>
    <row r="36" spans="1:13" x14ac:dyDescent="0.2">
      <c r="A36" s="27"/>
      <c r="B36" s="27"/>
      <c r="D36" s="20"/>
      <c r="E36" s="20"/>
      <c r="M36" s="28"/>
    </row>
    <row r="37" spans="1:13" s="21" customFormat="1" x14ac:dyDescent="0.2">
      <c r="A37" s="1" t="s">
        <v>50</v>
      </c>
      <c r="B37" s="7"/>
      <c r="C37" s="5">
        <v>3996462</v>
      </c>
      <c r="D37" s="20">
        <v>2.4</v>
      </c>
      <c r="E37" s="20">
        <v>0.23</v>
      </c>
      <c r="F37" s="5">
        <v>41890211</v>
      </c>
      <c r="G37" s="5">
        <f>+J37+K37+L37+M37</f>
        <v>48772050</v>
      </c>
      <c r="H37" s="21">
        <f>G37-F37</f>
        <v>6881839</v>
      </c>
      <c r="I37" s="5">
        <v>2500699</v>
      </c>
      <c r="J37" s="5">
        <v>37504609</v>
      </c>
      <c r="K37" s="5">
        <f>308175+80965</f>
        <v>389140</v>
      </c>
      <c r="L37" s="5">
        <v>0</v>
      </c>
      <c r="M37" s="5">
        <v>10878301</v>
      </c>
    </row>
    <row r="38" spans="1:13" x14ac:dyDescent="0.2">
      <c r="A38" s="30" t="s">
        <v>51</v>
      </c>
      <c r="B38" s="30"/>
      <c r="C38" s="25">
        <v>3996462</v>
      </c>
      <c r="D38" s="26"/>
      <c r="E38" s="26"/>
      <c r="F38" s="25">
        <v>41890211</v>
      </c>
      <c r="G38" s="25">
        <f t="shared" ref="G38:M38" si="4">SUM(G37:G37)</f>
        <v>48772050</v>
      </c>
      <c r="H38" s="25">
        <f t="shared" si="4"/>
        <v>6881839</v>
      </c>
      <c r="I38" s="25">
        <v>2500699</v>
      </c>
      <c r="J38" s="31">
        <f t="shared" si="4"/>
        <v>37504609</v>
      </c>
      <c r="K38" s="31">
        <f t="shared" si="4"/>
        <v>389140</v>
      </c>
      <c r="L38" s="25">
        <f t="shared" si="4"/>
        <v>0</v>
      </c>
      <c r="M38" s="25">
        <f t="shared" si="4"/>
        <v>10878301</v>
      </c>
    </row>
    <row r="39" spans="1:13" x14ac:dyDescent="0.2">
      <c r="D39" s="20"/>
      <c r="E39" s="20"/>
      <c r="I39" s="21"/>
      <c r="J39" s="21"/>
      <c r="K39" s="21"/>
      <c r="M39" s="28"/>
    </row>
    <row r="40" spans="1:13" x14ac:dyDescent="0.2">
      <c r="A40" s="32" t="s">
        <v>11</v>
      </c>
      <c r="B40" s="32"/>
      <c r="C40" s="8">
        <f>C35+C38</f>
        <v>725219443</v>
      </c>
      <c r="D40" s="33"/>
      <c r="E40" s="33"/>
      <c r="F40" s="8">
        <f t="shared" ref="F40:M40" si="5">F35+F38</f>
        <v>9749689106</v>
      </c>
      <c r="G40" s="8">
        <f t="shared" si="5"/>
        <v>10015528987</v>
      </c>
      <c r="H40" s="8">
        <f t="shared" si="5"/>
        <v>265839881</v>
      </c>
      <c r="I40" s="8">
        <f t="shared" si="5"/>
        <v>127914386</v>
      </c>
      <c r="J40" s="29">
        <f t="shared" si="5"/>
        <v>8517078330</v>
      </c>
      <c r="K40" s="29">
        <f t="shared" si="5"/>
        <v>564170208</v>
      </c>
      <c r="L40" s="8">
        <f t="shared" si="5"/>
        <v>10508876</v>
      </c>
      <c r="M40" s="8">
        <f t="shared" si="5"/>
        <v>923771573</v>
      </c>
    </row>
    <row r="41" spans="1:13" ht="25.5" customHeight="1" x14ac:dyDescent="0.2">
      <c r="A41" s="67" t="s">
        <v>82</v>
      </c>
      <c r="B41" s="75" t="s">
        <v>83</v>
      </c>
      <c r="C41" s="75"/>
      <c r="D41" s="75"/>
      <c r="E41" s="75"/>
      <c r="F41" s="75"/>
      <c r="G41" s="75"/>
      <c r="H41" s="75"/>
      <c r="I41" s="75"/>
      <c r="J41" s="75"/>
      <c r="K41" s="75"/>
      <c r="L41" s="75"/>
      <c r="M41" s="76"/>
    </row>
    <row r="42" spans="1:13" ht="13.5" customHeight="1" x14ac:dyDescent="0.2">
      <c r="A42" s="34"/>
      <c r="B42" s="1"/>
      <c r="C42" s="1"/>
      <c r="D42" s="1"/>
      <c r="E42" s="1"/>
      <c r="F42" s="1"/>
      <c r="G42" s="1"/>
      <c r="H42" s="1"/>
      <c r="I42" s="1"/>
      <c r="J42" s="1"/>
      <c r="K42" s="1"/>
      <c r="L42" s="1"/>
      <c r="M42" s="1"/>
    </row>
    <row r="43" spans="1:13" ht="12.75" customHeight="1" x14ac:dyDescent="0.2">
      <c r="A43" s="38"/>
      <c r="B43" s="1" t="s">
        <v>52</v>
      </c>
      <c r="C43" s="1"/>
      <c r="D43" s="1"/>
      <c r="E43" s="1"/>
      <c r="F43" s="1"/>
      <c r="G43" s="1"/>
      <c r="H43" s="1"/>
      <c r="I43" s="1"/>
      <c r="J43" s="1"/>
      <c r="K43" s="1"/>
      <c r="L43" s="1"/>
      <c r="M43" s="1"/>
    </row>
    <row r="44" spans="1:13" ht="12.75" customHeight="1" x14ac:dyDescent="0.2">
      <c r="A44" s="38"/>
      <c r="B44" s="1"/>
      <c r="C44" s="1"/>
      <c r="D44" s="1"/>
      <c r="E44" s="1"/>
      <c r="F44" s="1"/>
      <c r="G44" s="1"/>
      <c r="H44" s="1"/>
      <c r="I44" s="1"/>
      <c r="J44" s="1"/>
      <c r="K44" s="1"/>
      <c r="L44" s="1"/>
      <c r="M44" s="1"/>
    </row>
    <row r="45" spans="1:13" x14ac:dyDescent="0.2">
      <c r="A45" s="39" t="s">
        <v>53</v>
      </c>
      <c r="B45" s="40"/>
      <c r="C45" s="40"/>
      <c r="D45" s="40"/>
      <c r="E45" s="40"/>
      <c r="F45" s="40"/>
      <c r="G45" s="40"/>
      <c r="H45" s="40"/>
      <c r="I45" s="40"/>
      <c r="J45" s="40"/>
      <c r="K45" s="40"/>
      <c r="L45" s="1"/>
      <c r="M45" s="1"/>
    </row>
    <row r="46" spans="1:13" x14ac:dyDescent="0.2">
      <c r="A46" s="41" t="s">
        <v>79</v>
      </c>
      <c r="B46" s="40"/>
      <c r="C46" s="40"/>
      <c r="D46" s="40"/>
      <c r="E46" s="40"/>
      <c r="F46" s="40"/>
      <c r="G46" s="40"/>
      <c r="H46" s="40"/>
      <c r="I46" s="40"/>
      <c r="J46" s="40"/>
      <c r="K46" s="40"/>
      <c r="L46" s="1"/>
      <c r="M46" s="1"/>
    </row>
    <row r="47" spans="1:13" x14ac:dyDescent="0.2">
      <c r="A47" s="40"/>
      <c r="B47" s="40"/>
      <c r="C47" s="40"/>
      <c r="D47" s="40"/>
      <c r="E47" s="40"/>
      <c r="F47" s="40"/>
      <c r="G47" s="40"/>
      <c r="H47" s="40"/>
      <c r="I47" s="40"/>
      <c r="J47" s="40"/>
      <c r="K47" s="40"/>
      <c r="L47" s="1"/>
      <c r="M47" s="1"/>
    </row>
    <row r="48" spans="1:13" x14ac:dyDescent="0.2">
      <c r="A48" s="40" t="s">
        <v>54</v>
      </c>
      <c r="B48" s="40"/>
      <c r="C48" s="40"/>
      <c r="D48" s="40"/>
      <c r="E48" s="40"/>
      <c r="F48" s="40"/>
      <c r="G48" s="40"/>
      <c r="H48" s="40"/>
      <c r="I48" s="40"/>
      <c r="J48" s="40"/>
      <c r="K48" s="40"/>
    </row>
    <row r="49" spans="1:11" x14ac:dyDescent="0.2">
      <c r="A49" s="9" t="s">
        <v>2</v>
      </c>
      <c r="B49" s="42"/>
      <c r="C49" s="42"/>
      <c r="D49" s="24" t="s">
        <v>55</v>
      </c>
      <c r="E49" s="43"/>
      <c r="F49" s="44" t="s">
        <v>56</v>
      </c>
      <c r="G49" s="44" t="s">
        <v>9</v>
      </c>
      <c r="H49" s="45" t="s">
        <v>57</v>
      </c>
      <c r="I49" s="44" t="s">
        <v>56</v>
      </c>
      <c r="J49" s="44" t="s">
        <v>9</v>
      </c>
      <c r="K49" s="45" t="s">
        <v>57</v>
      </c>
    </row>
    <row r="50" spans="1:11" x14ac:dyDescent="0.2">
      <c r="A50" s="46"/>
      <c r="B50" s="46"/>
      <c r="C50" s="46"/>
      <c r="D50" s="13" t="s">
        <v>11</v>
      </c>
      <c r="E50" s="13" t="s">
        <v>12</v>
      </c>
      <c r="F50" s="47" t="s">
        <v>58</v>
      </c>
      <c r="G50" s="47" t="s">
        <v>59</v>
      </c>
      <c r="H50" s="47" t="s">
        <v>60</v>
      </c>
      <c r="I50" s="47" t="s">
        <v>61</v>
      </c>
      <c r="J50" s="47" t="s">
        <v>59</v>
      </c>
      <c r="K50" s="47" t="s">
        <v>60</v>
      </c>
    </row>
    <row r="51" spans="1:11" x14ac:dyDescent="0.2">
      <c r="A51" s="48"/>
      <c r="B51" s="48"/>
      <c r="C51" s="48"/>
      <c r="D51" s="48"/>
      <c r="E51" s="48"/>
      <c r="F51" s="49" t="s">
        <v>62</v>
      </c>
      <c r="G51" s="49" t="s">
        <v>63</v>
      </c>
      <c r="H51" s="49" t="s">
        <v>63</v>
      </c>
      <c r="I51" s="49" t="s">
        <v>3</v>
      </c>
      <c r="J51" s="50" t="s">
        <v>64</v>
      </c>
      <c r="K51" s="50" t="s">
        <v>64</v>
      </c>
    </row>
    <row r="52" spans="1:11" x14ac:dyDescent="0.2">
      <c r="A52" s="46"/>
      <c r="B52" s="46"/>
      <c r="C52" s="46"/>
      <c r="D52" s="51"/>
      <c r="E52" s="51"/>
      <c r="F52" s="52"/>
      <c r="G52" s="52"/>
      <c r="H52" s="52"/>
      <c r="I52" s="52"/>
      <c r="J52" s="19"/>
      <c r="K52" s="19"/>
    </row>
    <row r="53" spans="1:11" x14ac:dyDescent="0.2">
      <c r="A53" s="53" t="s">
        <v>65</v>
      </c>
      <c r="B53" s="54"/>
      <c r="C53" s="54"/>
      <c r="D53" s="55">
        <v>1.01</v>
      </c>
      <c r="E53" s="56">
        <v>2E-3</v>
      </c>
      <c r="F53" s="57">
        <v>51010720</v>
      </c>
      <c r="G53" s="57">
        <f>49687130+1323590</f>
        <v>51010720</v>
      </c>
      <c r="H53" s="57">
        <f>G53-F53</f>
        <v>0</v>
      </c>
      <c r="I53" s="57">
        <v>50608063</v>
      </c>
      <c r="J53" s="57">
        <v>50643764</v>
      </c>
      <c r="K53" s="57">
        <f>J53-I53</f>
        <v>35701</v>
      </c>
    </row>
    <row r="54" spans="1:11" x14ac:dyDescent="0.2">
      <c r="A54" s="58" t="s">
        <v>66</v>
      </c>
      <c r="B54" s="54"/>
      <c r="C54" s="54"/>
      <c r="D54" s="55">
        <v>0.54</v>
      </c>
      <c r="E54" s="56">
        <v>3.1E-2</v>
      </c>
      <c r="F54" s="57">
        <v>15928593</v>
      </c>
      <c r="G54" s="57">
        <f>480616+11115618+4332359</f>
        <v>15928593</v>
      </c>
      <c r="H54" s="57">
        <f>G54-F54</f>
        <v>0</v>
      </c>
      <c r="I54" s="57">
        <v>31282783</v>
      </c>
      <c r="J54" s="57">
        <v>32208615</v>
      </c>
      <c r="K54" s="57">
        <f>J54-I54</f>
        <v>925832</v>
      </c>
    </row>
    <row r="55" spans="1:11" x14ac:dyDescent="0.2">
      <c r="A55" s="46"/>
      <c r="B55" s="46"/>
      <c r="C55" s="46"/>
      <c r="D55" s="59"/>
      <c r="E55" s="51"/>
      <c r="F55" s="57"/>
      <c r="G55" s="57"/>
      <c r="H55" s="57"/>
      <c r="I55" s="57"/>
      <c r="J55" s="57"/>
      <c r="K55" s="57"/>
    </row>
    <row r="56" spans="1:11" x14ac:dyDescent="0.2">
      <c r="A56" s="40"/>
      <c r="B56" s="40"/>
      <c r="C56" s="40"/>
      <c r="D56" s="60"/>
      <c r="E56" s="60"/>
      <c r="F56" s="61"/>
      <c r="G56" s="61"/>
      <c r="H56" s="61"/>
      <c r="I56" s="61"/>
      <c r="J56" s="61"/>
      <c r="K56" s="61"/>
    </row>
    <row r="57" spans="1:11" x14ac:dyDescent="0.2">
      <c r="A57" s="62" t="s">
        <v>67</v>
      </c>
      <c r="B57" s="40"/>
      <c r="C57" s="40"/>
      <c r="D57" s="60"/>
      <c r="E57" s="60"/>
      <c r="F57" s="61"/>
      <c r="G57" s="61"/>
      <c r="H57" s="61"/>
      <c r="I57" s="61"/>
      <c r="J57" s="61"/>
      <c r="K57" s="61"/>
    </row>
    <row r="58" spans="1:11" x14ac:dyDescent="0.2">
      <c r="A58" s="9" t="s">
        <v>2</v>
      </c>
      <c r="B58" s="42"/>
      <c r="C58" s="42"/>
      <c r="D58" s="24" t="s">
        <v>55</v>
      </c>
      <c r="E58" s="63"/>
      <c r="F58" s="11" t="s">
        <v>84</v>
      </c>
      <c r="G58" s="11" t="s">
        <v>5</v>
      </c>
      <c r="H58" s="10" t="s">
        <v>9</v>
      </c>
      <c r="I58" s="10" t="s">
        <v>68</v>
      </c>
      <c r="J58" s="57"/>
      <c r="K58" s="57"/>
    </row>
    <row r="59" spans="1:11" x14ac:dyDescent="0.2">
      <c r="A59" s="46"/>
      <c r="B59" s="46"/>
      <c r="C59" s="46"/>
      <c r="D59" s="13" t="s">
        <v>11</v>
      </c>
      <c r="E59" s="13" t="s">
        <v>12</v>
      </c>
      <c r="F59" s="12" t="s">
        <v>69</v>
      </c>
      <c r="G59" s="12" t="s">
        <v>69</v>
      </c>
      <c r="H59" s="13" t="s">
        <v>70</v>
      </c>
      <c r="I59" s="13" t="s">
        <v>60</v>
      </c>
      <c r="J59" s="57"/>
      <c r="K59" s="57"/>
    </row>
    <row r="60" spans="1:11" x14ac:dyDescent="0.2">
      <c r="A60" s="46"/>
      <c r="B60" s="46"/>
      <c r="C60" s="46"/>
      <c r="D60" s="51"/>
      <c r="E60" s="51"/>
      <c r="F60" s="12" t="s">
        <v>71</v>
      </c>
      <c r="G60" s="13" t="s">
        <v>72</v>
      </c>
      <c r="H60" s="12" t="s">
        <v>73</v>
      </c>
      <c r="I60" s="13" t="s">
        <v>74</v>
      </c>
      <c r="J60" s="57"/>
      <c r="K60" s="57"/>
    </row>
    <row r="61" spans="1:11" x14ac:dyDescent="0.2">
      <c r="A61" s="48"/>
      <c r="B61" s="48"/>
      <c r="C61" s="48"/>
      <c r="D61" s="64"/>
      <c r="E61" s="64"/>
      <c r="F61" s="18" t="s">
        <v>75</v>
      </c>
      <c r="G61" s="18" t="s">
        <v>76</v>
      </c>
      <c r="H61" s="18" t="s">
        <v>77</v>
      </c>
      <c r="I61" s="18" t="s">
        <v>77</v>
      </c>
      <c r="J61" s="57"/>
      <c r="K61" s="57"/>
    </row>
    <row r="62" spans="1:11" x14ac:dyDescent="0.2">
      <c r="A62" s="46"/>
      <c r="B62" s="46"/>
      <c r="C62" s="40"/>
      <c r="D62" s="60"/>
      <c r="E62" s="60"/>
      <c r="F62" s="61"/>
      <c r="G62" s="61"/>
      <c r="H62" s="61"/>
      <c r="I62" s="61"/>
      <c r="J62" s="61"/>
      <c r="K62" s="61"/>
    </row>
    <row r="63" spans="1:11" x14ac:dyDescent="0.2">
      <c r="A63" s="54" t="s">
        <v>78</v>
      </c>
      <c r="B63" s="46"/>
      <c r="C63" s="46"/>
      <c r="D63" s="55">
        <v>2.39</v>
      </c>
      <c r="E63" s="56">
        <v>3.3000000000000002E-2</v>
      </c>
      <c r="F63" s="57">
        <v>46359439</v>
      </c>
      <c r="G63" s="57">
        <v>23363911</v>
      </c>
      <c r="H63" s="57">
        <v>70188345</v>
      </c>
      <c r="I63" s="57">
        <f>+H63-G63-F63</f>
        <v>464995</v>
      </c>
      <c r="J63" s="57"/>
      <c r="K63" s="57"/>
    </row>
    <row r="64" spans="1:11" x14ac:dyDescent="0.2">
      <c r="A64" s="40"/>
      <c r="B64" s="40"/>
      <c r="C64" s="40"/>
      <c r="D64" s="60"/>
      <c r="E64" s="60"/>
      <c r="F64" s="61"/>
      <c r="G64" s="61"/>
      <c r="H64" s="61"/>
      <c r="I64" s="61"/>
      <c r="J64" s="61"/>
      <c r="K64" s="61"/>
    </row>
    <row r="65" spans="1:11" x14ac:dyDescent="0.2">
      <c r="A65" s="40"/>
      <c r="B65" s="40"/>
      <c r="C65" s="40"/>
      <c r="D65" s="60"/>
      <c r="E65" s="60"/>
      <c r="F65" s="61"/>
      <c r="G65" s="61"/>
      <c r="H65" s="61"/>
      <c r="I65" s="61"/>
      <c r="J65" s="61"/>
      <c r="K65" s="61"/>
    </row>
    <row r="66" spans="1:11" x14ac:dyDescent="0.2">
      <c r="A66" s="40"/>
      <c r="B66" s="40"/>
      <c r="C66" s="40"/>
      <c r="D66" s="40"/>
      <c r="E66" s="40"/>
      <c r="F66" s="40"/>
      <c r="G66" s="40"/>
      <c r="H66" s="40"/>
      <c r="I66" s="40"/>
      <c r="J66" s="40"/>
      <c r="K66" s="40"/>
    </row>
  </sheetData>
  <mergeCells count="4">
    <mergeCell ref="D4:E4"/>
    <mergeCell ref="A8:B8"/>
    <mergeCell ref="A13:B13"/>
    <mergeCell ref="B41:M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workbookViewId="0"/>
  </sheetViews>
  <sheetFormatPr baseColWidth="10" defaultRowHeight="12.75" x14ac:dyDescent="0.2"/>
  <cols>
    <col min="1" max="1" width="2.5703125" style="5" customWidth="1"/>
    <col min="2" max="2" width="22.42578125" style="5" customWidth="1"/>
    <col min="3" max="3" width="12.140625" style="5" bestFit="1" customWidth="1"/>
    <col min="4" max="4" width="8.140625" style="5" customWidth="1"/>
    <col min="5" max="5" width="8.5703125" style="5" customWidth="1"/>
    <col min="6" max="6" width="17" style="5" bestFit="1" customWidth="1"/>
    <col min="7" max="7" width="16.7109375" style="5" bestFit="1" customWidth="1"/>
    <col min="8" max="8" width="18" style="5" bestFit="1" customWidth="1"/>
    <col min="9" max="9" width="17.7109375" style="5" bestFit="1" customWidth="1"/>
    <col min="10" max="10" width="13.5703125" style="5" customWidth="1"/>
    <col min="11" max="11" width="18.5703125" style="5" bestFit="1" customWidth="1"/>
    <col min="12" max="13" width="12.28515625" style="5" bestFit="1" customWidth="1"/>
    <col min="14" max="256" width="11.42578125" style="5"/>
    <col min="257" max="257" width="2.5703125" style="5" customWidth="1"/>
    <col min="258" max="258" width="22.42578125" style="5" customWidth="1"/>
    <col min="259" max="259" width="12.140625" style="5" bestFit="1" customWidth="1"/>
    <col min="260" max="260" width="8.140625" style="5" customWidth="1"/>
    <col min="261" max="261" width="8.5703125" style="5" customWidth="1"/>
    <col min="262" max="262" width="17" style="5" bestFit="1" customWidth="1"/>
    <col min="263" max="263" width="16.7109375" style="5" bestFit="1" customWidth="1"/>
    <col min="264" max="264" width="18" style="5" bestFit="1" customWidth="1"/>
    <col min="265" max="265" width="17.7109375" style="5" bestFit="1" customWidth="1"/>
    <col min="266" max="266" width="13.5703125" style="5" customWidth="1"/>
    <col min="267" max="267" width="18.5703125" style="5" bestFit="1" customWidth="1"/>
    <col min="268" max="269" width="12.28515625" style="5" bestFit="1" customWidth="1"/>
    <col min="270" max="512" width="11.42578125" style="5"/>
    <col min="513" max="513" width="2.5703125" style="5" customWidth="1"/>
    <col min="514" max="514" width="22.42578125" style="5" customWidth="1"/>
    <col min="515" max="515" width="12.140625" style="5" bestFit="1" customWidth="1"/>
    <col min="516" max="516" width="8.140625" style="5" customWidth="1"/>
    <col min="517" max="517" width="8.5703125" style="5" customWidth="1"/>
    <col min="518" max="518" width="17" style="5" bestFit="1" customWidth="1"/>
    <col min="519" max="519" width="16.7109375" style="5" bestFit="1" customWidth="1"/>
    <col min="520" max="520" width="18" style="5" bestFit="1" customWidth="1"/>
    <col min="521" max="521" width="17.7109375" style="5" bestFit="1" customWidth="1"/>
    <col min="522" max="522" width="13.5703125" style="5" customWidth="1"/>
    <col min="523" max="523" width="18.5703125" style="5" bestFit="1" customWidth="1"/>
    <col min="524" max="525" width="12.28515625" style="5" bestFit="1" customWidth="1"/>
    <col min="526" max="768" width="11.42578125" style="5"/>
    <col min="769" max="769" width="2.5703125" style="5" customWidth="1"/>
    <col min="770" max="770" width="22.42578125" style="5" customWidth="1"/>
    <col min="771" max="771" width="12.140625" style="5" bestFit="1" customWidth="1"/>
    <col min="772" max="772" width="8.140625" style="5" customWidth="1"/>
    <col min="773" max="773" width="8.5703125" style="5" customWidth="1"/>
    <col min="774" max="774" width="17" style="5" bestFit="1" customWidth="1"/>
    <col min="775" max="775" width="16.7109375" style="5" bestFit="1" customWidth="1"/>
    <col min="776" max="776" width="18" style="5" bestFit="1" customWidth="1"/>
    <col min="777" max="777" width="17.7109375" style="5" bestFit="1" customWidth="1"/>
    <col min="778" max="778" width="13.5703125" style="5" customWidth="1"/>
    <col min="779" max="779" width="18.5703125" style="5" bestFit="1" customWidth="1"/>
    <col min="780" max="781" width="12.28515625" style="5" bestFit="1" customWidth="1"/>
    <col min="782" max="1024" width="11.42578125" style="5"/>
    <col min="1025" max="1025" width="2.5703125" style="5" customWidth="1"/>
    <col min="1026" max="1026" width="22.42578125" style="5" customWidth="1"/>
    <col min="1027" max="1027" width="12.140625" style="5" bestFit="1" customWidth="1"/>
    <col min="1028" max="1028" width="8.140625" style="5" customWidth="1"/>
    <col min="1029" max="1029" width="8.5703125" style="5" customWidth="1"/>
    <col min="1030" max="1030" width="17" style="5" bestFit="1" customWidth="1"/>
    <col min="1031" max="1031" width="16.7109375" style="5" bestFit="1" customWidth="1"/>
    <col min="1032" max="1032" width="18" style="5" bestFit="1" customWidth="1"/>
    <col min="1033" max="1033" width="17.7109375" style="5" bestFit="1" customWidth="1"/>
    <col min="1034" max="1034" width="13.5703125" style="5" customWidth="1"/>
    <col min="1035" max="1035" width="18.5703125" style="5" bestFit="1" customWidth="1"/>
    <col min="1036" max="1037" width="12.28515625" style="5" bestFit="1" customWidth="1"/>
    <col min="1038" max="1280" width="11.42578125" style="5"/>
    <col min="1281" max="1281" width="2.5703125" style="5" customWidth="1"/>
    <col min="1282" max="1282" width="22.42578125" style="5" customWidth="1"/>
    <col min="1283" max="1283" width="12.140625" style="5" bestFit="1" customWidth="1"/>
    <col min="1284" max="1284" width="8.140625" style="5" customWidth="1"/>
    <col min="1285" max="1285" width="8.5703125" style="5" customWidth="1"/>
    <col min="1286" max="1286" width="17" style="5" bestFit="1" customWidth="1"/>
    <col min="1287" max="1287" width="16.7109375" style="5" bestFit="1" customWidth="1"/>
    <col min="1288" max="1288" width="18" style="5" bestFit="1" customWidth="1"/>
    <col min="1289" max="1289" width="17.7109375" style="5" bestFit="1" customWidth="1"/>
    <col min="1290" max="1290" width="13.5703125" style="5" customWidth="1"/>
    <col min="1291" max="1291" width="18.5703125" style="5" bestFit="1" customWidth="1"/>
    <col min="1292" max="1293" width="12.28515625" style="5" bestFit="1" customWidth="1"/>
    <col min="1294" max="1536" width="11.42578125" style="5"/>
    <col min="1537" max="1537" width="2.5703125" style="5" customWidth="1"/>
    <col min="1538" max="1538" width="22.42578125" style="5" customWidth="1"/>
    <col min="1539" max="1539" width="12.140625" style="5" bestFit="1" customWidth="1"/>
    <col min="1540" max="1540" width="8.140625" style="5" customWidth="1"/>
    <col min="1541" max="1541" width="8.5703125" style="5" customWidth="1"/>
    <col min="1542" max="1542" width="17" style="5" bestFit="1" customWidth="1"/>
    <col min="1543" max="1543" width="16.7109375" style="5" bestFit="1" customWidth="1"/>
    <col min="1544" max="1544" width="18" style="5" bestFit="1" customWidth="1"/>
    <col min="1545" max="1545" width="17.7109375" style="5" bestFit="1" customWidth="1"/>
    <col min="1546" max="1546" width="13.5703125" style="5" customWidth="1"/>
    <col min="1547" max="1547" width="18.5703125" style="5" bestFit="1" customWidth="1"/>
    <col min="1548" max="1549" width="12.28515625" style="5" bestFit="1" customWidth="1"/>
    <col min="1550" max="1792" width="11.42578125" style="5"/>
    <col min="1793" max="1793" width="2.5703125" style="5" customWidth="1"/>
    <col min="1794" max="1794" width="22.42578125" style="5" customWidth="1"/>
    <col min="1795" max="1795" width="12.140625" style="5" bestFit="1" customWidth="1"/>
    <col min="1796" max="1796" width="8.140625" style="5" customWidth="1"/>
    <col min="1797" max="1797" width="8.5703125" style="5" customWidth="1"/>
    <col min="1798" max="1798" width="17" style="5" bestFit="1" customWidth="1"/>
    <col min="1799" max="1799" width="16.7109375" style="5" bestFit="1" customWidth="1"/>
    <col min="1800" max="1800" width="18" style="5" bestFit="1" customWidth="1"/>
    <col min="1801" max="1801" width="17.7109375" style="5" bestFit="1" customWidth="1"/>
    <col min="1802" max="1802" width="13.5703125" style="5" customWidth="1"/>
    <col min="1803" max="1803" width="18.5703125" style="5" bestFit="1" customWidth="1"/>
    <col min="1804" max="1805" width="12.28515625" style="5" bestFit="1" customWidth="1"/>
    <col min="1806" max="2048" width="11.42578125" style="5"/>
    <col min="2049" max="2049" width="2.5703125" style="5" customWidth="1"/>
    <col min="2050" max="2050" width="22.42578125" style="5" customWidth="1"/>
    <col min="2051" max="2051" width="12.140625" style="5" bestFit="1" customWidth="1"/>
    <col min="2052" max="2052" width="8.140625" style="5" customWidth="1"/>
    <col min="2053" max="2053" width="8.5703125" style="5" customWidth="1"/>
    <col min="2054" max="2054" width="17" style="5" bestFit="1" customWidth="1"/>
    <col min="2055" max="2055" width="16.7109375" style="5" bestFit="1" customWidth="1"/>
    <col min="2056" max="2056" width="18" style="5" bestFit="1" customWidth="1"/>
    <col min="2057" max="2057" width="17.7109375" style="5" bestFit="1" customWidth="1"/>
    <col min="2058" max="2058" width="13.5703125" style="5" customWidth="1"/>
    <col min="2059" max="2059" width="18.5703125" style="5" bestFit="1" customWidth="1"/>
    <col min="2060" max="2061" width="12.28515625" style="5" bestFit="1" customWidth="1"/>
    <col min="2062" max="2304" width="11.42578125" style="5"/>
    <col min="2305" max="2305" width="2.5703125" style="5" customWidth="1"/>
    <col min="2306" max="2306" width="22.42578125" style="5" customWidth="1"/>
    <col min="2307" max="2307" width="12.140625" style="5" bestFit="1" customWidth="1"/>
    <col min="2308" max="2308" width="8.140625" style="5" customWidth="1"/>
    <col min="2309" max="2309" width="8.5703125" style="5" customWidth="1"/>
    <col min="2310" max="2310" width="17" style="5" bestFit="1" customWidth="1"/>
    <col min="2311" max="2311" width="16.7109375" style="5" bestFit="1" customWidth="1"/>
    <col min="2312" max="2312" width="18" style="5" bestFit="1" customWidth="1"/>
    <col min="2313" max="2313" width="17.7109375" style="5" bestFit="1" customWidth="1"/>
    <col min="2314" max="2314" width="13.5703125" style="5" customWidth="1"/>
    <col min="2315" max="2315" width="18.5703125" style="5" bestFit="1" customWidth="1"/>
    <col min="2316" max="2317" width="12.28515625" style="5" bestFit="1" customWidth="1"/>
    <col min="2318" max="2560" width="11.42578125" style="5"/>
    <col min="2561" max="2561" width="2.5703125" style="5" customWidth="1"/>
    <col min="2562" max="2562" width="22.42578125" style="5" customWidth="1"/>
    <col min="2563" max="2563" width="12.140625" style="5" bestFit="1" customWidth="1"/>
    <col min="2564" max="2564" width="8.140625" style="5" customWidth="1"/>
    <col min="2565" max="2565" width="8.5703125" style="5" customWidth="1"/>
    <col min="2566" max="2566" width="17" style="5" bestFit="1" customWidth="1"/>
    <col min="2567" max="2567" width="16.7109375" style="5" bestFit="1" customWidth="1"/>
    <col min="2568" max="2568" width="18" style="5" bestFit="1" customWidth="1"/>
    <col min="2569" max="2569" width="17.7109375" style="5" bestFit="1" customWidth="1"/>
    <col min="2570" max="2570" width="13.5703125" style="5" customWidth="1"/>
    <col min="2571" max="2571" width="18.5703125" style="5" bestFit="1" customWidth="1"/>
    <col min="2572" max="2573" width="12.28515625" style="5" bestFit="1" customWidth="1"/>
    <col min="2574" max="2816" width="11.42578125" style="5"/>
    <col min="2817" max="2817" width="2.5703125" style="5" customWidth="1"/>
    <col min="2818" max="2818" width="22.42578125" style="5" customWidth="1"/>
    <col min="2819" max="2819" width="12.140625" style="5" bestFit="1" customWidth="1"/>
    <col min="2820" max="2820" width="8.140625" style="5" customWidth="1"/>
    <col min="2821" max="2821" width="8.5703125" style="5" customWidth="1"/>
    <col min="2822" max="2822" width="17" style="5" bestFit="1" customWidth="1"/>
    <col min="2823" max="2823" width="16.7109375" style="5" bestFit="1" customWidth="1"/>
    <col min="2824" max="2824" width="18" style="5" bestFit="1" customWidth="1"/>
    <col min="2825" max="2825" width="17.7109375" style="5" bestFit="1" customWidth="1"/>
    <col min="2826" max="2826" width="13.5703125" style="5" customWidth="1"/>
    <col min="2827" max="2827" width="18.5703125" style="5" bestFit="1" customWidth="1"/>
    <col min="2828" max="2829" width="12.28515625" style="5" bestFit="1" customWidth="1"/>
    <col min="2830" max="3072" width="11.42578125" style="5"/>
    <col min="3073" max="3073" width="2.5703125" style="5" customWidth="1"/>
    <col min="3074" max="3074" width="22.42578125" style="5" customWidth="1"/>
    <col min="3075" max="3075" width="12.140625" style="5" bestFit="1" customWidth="1"/>
    <col min="3076" max="3076" width="8.140625" style="5" customWidth="1"/>
    <col min="3077" max="3077" width="8.5703125" style="5" customWidth="1"/>
    <col min="3078" max="3078" width="17" style="5" bestFit="1" customWidth="1"/>
    <col min="3079" max="3079" width="16.7109375" style="5" bestFit="1" customWidth="1"/>
    <col min="3080" max="3080" width="18" style="5" bestFit="1" customWidth="1"/>
    <col min="3081" max="3081" width="17.7109375" style="5" bestFit="1" customWidth="1"/>
    <col min="3082" max="3082" width="13.5703125" style="5" customWidth="1"/>
    <col min="3083" max="3083" width="18.5703125" style="5" bestFit="1" customWidth="1"/>
    <col min="3084" max="3085" width="12.28515625" style="5" bestFit="1" customWidth="1"/>
    <col min="3086" max="3328" width="11.42578125" style="5"/>
    <col min="3329" max="3329" width="2.5703125" style="5" customWidth="1"/>
    <col min="3330" max="3330" width="22.42578125" style="5" customWidth="1"/>
    <col min="3331" max="3331" width="12.140625" style="5" bestFit="1" customWidth="1"/>
    <col min="3332" max="3332" width="8.140625" style="5" customWidth="1"/>
    <col min="3333" max="3333" width="8.5703125" style="5" customWidth="1"/>
    <col min="3334" max="3334" width="17" style="5" bestFit="1" customWidth="1"/>
    <col min="3335" max="3335" width="16.7109375" style="5" bestFit="1" customWidth="1"/>
    <col min="3336" max="3336" width="18" style="5" bestFit="1" customWidth="1"/>
    <col min="3337" max="3337" width="17.7109375" style="5" bestFit="1" customWidth="1"/>
    <col min="3338" max="3338" width="13.5703125" style="5" customWidth="1"/>
    <col min="3339" max="3339" width="18.5703125" style="5" bestFit="1" customWidth="1"/>
    <col min="3340" max="3341" width="12.28515625" style="5" bestFit="1" customWidth="1"/>
    <col min="3342" max="3584" width="11.42578125" style="5"/>
    <col min="3585" max="3585" width="2.5703125" style="5" customWidth="1"/>
    <col min="3586" max="3586" width="22.42578125" style="5" customWidth="1"/>
    <col min="3587" max="3587" width="12.140625" style="5" bestFit="1" customWidth="1"/>
    <col min="3588" max="3588" width="8.140625" style="5" customWidth="1"/>
    <col min="3589" max="3589" width="8.5703125" style="5" customWidth="1"/>
    <col min="3590" max="3590" width="17" style="5" bestFit="1" customWidth="1"/>
    <col min="3591" max="3591" width="16.7109375" style="5" bestFit="1" customWidth="1"/>
    <col min="3592" max="3592" width="18" style="5" bestFit="1" customWidth="1"/>
    <col min="3593" max="3593" width="17.7109375" style="5" bestFit="1" customWidth="1"/>
    <col min="3594" max="3594" width="13.5703125" style="5" customWidth="1"/>
    <col min="3595" max="3595" width="18.5703125" style="5" bestFit="1" customWidth="1"/>
    <col min="3596" max="3597" width="12.28515625" style="5" bestFit="1" customWidth="1"/>
    <col min="3598" max="3840" width="11.42578125" style="5"/>
    <col min="3841" max="3841" width="2.5703125" style="5" customWidth="1"/>
    <col min="3842" max="3842" width="22.42578125" style="5" customWidth="1"/>
    <col min="3843" max="3843" width="12.140625" style="5" bestFit="1" customWidth="1"/>
    <col min="3844" max="3844" width="8.140625" style="5" customWidth="1"/>
    <col min="3845" max="3845" width="8.5703125" style="5" customWidth="1"/>
    <col min="3846" max="3846" width="17" style="5" bestFit="1" customWidth="1"/>
    <col min="3847" max="3847" width="16.7109375" style="5" bestFit="1" customWidth="1"/>
    <col min="3848" max="3848" width="18" style="5" bestFit="1" customWidth="1"/>
    <col min="3849" max="3849" width="17.7109375" style="5" bestFit="1" customWidth="1"/>
    <col min="3850" max="3850" width="13.5703125" style="5" customWidth="1"/>
    <col min="3851" max="3851" width="18.5703125" style="5" bestFit="1" customWidth="1"/>
    <col min="3852" max="3853" width="12.28515625" style="5" bestFit="1" customWidth="1"/>
    <col min="3854" max="4096" width="11.42578125" style="5"/>
    <col min="4097" max="4097" width="2.5703125" style="5" customWidth="1"/>
    <col min="4098" max="4098" width="22.42578125" style="5" customWidth="1"/>
    <col min="4099" max="4099" width="12.140625" style="5" bestFit="1" customWidth="1"/>
    <col min="4100" max="4100" width="8.140625" style="5" customWidth="1"/>
    <col min="4101" max="4101" width="8.5703125" style="5" customWidth="1"/>
    <col min="4102" max="4102" width="17" style="5" bestFit="1" customWidth="1"/>
    <col min="4103" max="4103" width="16.7109375" style="5" bestFit="1" customWidth="1"/>
    <col min="4104" max="4104" width="18" style="5" bestFit="1" customWidth="1"/>
    <col min="4105" max="4105" width="17.7109375" style="5" bestFit="1" customWidth="1"/>
    <col min="4106" max="4106" width="13.5703125" style="5" customWidth="1"/>
    <col min="4107" max="4107" width="18.5703125" style="5" bestFit="1" customWidth="1"/>
    <col min="4108" max="4109" width="12.28515625" style="5" bestFit="1" customWidth="1"/>
    <col min="4110" max="4352" width="11.42578125" style="5"/>
    <col min="4353" max="4353" width="2.5703125" style="5" customWidth="1"/>
    <col min="4354" max="4354" width="22.42578125" style="5" customWidth="1"/>
    <col min="4355" max="4355" width="12.140625" style="5" bestFit="1" customWidth="1"/>
    <col min="4356" max="4356" width="8.140625" style="5" customWidth="1"/>
    <col min="4357" max="4357" width="8.5703125" style="5" customWidth="1"/>
    <col min="4358" max="4358" width="17" style="5" bestFit="1" customWidth="1"/>
    <col min="4359" max="4359" width="16.7109375" style="5" bestFit="1" customWidth="1"/>
    <col min="4360" max="4360" width="18" style="5" bestFit="1" customWidth="1"/>
    <col min="4361" max="4361" width="17.7109375" style="5" bestFit="1" customWidth="1"/>
    <col min="4362" max="4362" width="13.5703125" style="5" customWidth="1"/>
    <col min="4363" max="4363" width="18.5703125" style="5" bestFit="1" customWidth="1"/>
    <col min="4364" max="4365" width="12.28515625" style="5" bestFit="1" customWidth="1"/>
    <col min="4366" max="4608" width="11.42578125" style="5"/>
    <col min="4609" max="4609" width="2.5703125" style="5" customWidth="1"/>
    <col min="4610" max="4610" width="22.42578125" style="5" customWidth="1"/>
    <col min="4611" max="4611" width="12.140625" style="5" bestFit="1" customWidth="1"/>
    <col min="4612" max="4612" width="8.140625" style="5" customWidth="1"/>
    <col min="4613" max="4613" width="8.5703125" style="5" customWidth="1"/>
    <col min="4614" max="4614" width="17" style="5" bestFit="1" customWidth="1"/>
    <col min="4615" max="4615" width="16.7109375" style="5" bestFit="1" customWidth="1"/>
    <col min="4616" max="4616" width="18" style="5" bestFit="1" customWidth="1"/>
    <col min="4617" max="4617" width="17.7109375" style="5" bestFit="1" customWidth="1"/>
    <col min="4618" max="4618" width="13.5703125" style="5" customWidth="1"/>
    <col min="4619" max="4619" width="18.5703125" style="5" bestFit="1" customWidth="1"/>
    <col min="4620" max="4621" width="12.28515625" style="5" bestFit="1" customWidth="1"/>
    <col min="4622" max="4864" width="11.42578125" style="5"/>
    <col min="4865" max="4865" width="2.5703125" style="5" customWidth="1"/>
    <col min="4866" max="4866" width="22.42578125" style="5" customWidth="1"/>
    <col min="4867" max="4867" width="12.140625" style="5" bestFit="1" customWidth="1"/>
    <col min="4868" max="4868" width="8.140625" style="5" customWidth="1"/>
    <col min="4869" max="4869" width="8.5703125" style="5" customWidth="1"/>
    <col min="4870" max="4870" width="17" style="5" bestFit="1" customWidth="1"/>
    <col min="4871" max="4871" width="16.7109375" style="5" bestFit="1" customWidth="1"/>
    <col min="4872" max="4872" width="18" style="5" bestFit="1" customWidth="1"/>
    <col min="4873" max="4873" width="17.7109375" style="5" bestFit="1" customWidth="1"/>
    <col min="4874" max="4874" width="13.5703125" style="5" customWidth="1"/>
    <col min="4875" max="4875" width="18.5703125" style="5" bestFit="1" customWidth="1"/>
    <col min="4876" max="4877" width="12.28515625" style="5" bestFit="1" customWidth="1"/>
    <col min="4878" max="5120" width="11.42578125" style="5"/>
    <col min="5121" max="5121" width="2.5703125" style="5" customWidth="1"/>
    <col min="5122" max="5122" width="22.42578125" style="5" customWidth="1"/>
    <col min="5123" max="5123" width="12.140625" style="5" bestFit="1" customWidth="1"/>
    <col min="5124" max="5124" width="8.140625" style="5" customWidth="1"/>
    <col min="5125" max="5125" width="8.5703125" style="5" customWidth="1"/>
    <col min="5126" max="5126" width="17" style="5" bestFit="1" customWidth="1"/>
    <col min="5127" max="5127" width="16.7109375" style="5" bestFit="1" customWidth="1"/>
    <col min="5128" max="5128" width="18" style="5" bestFit="1" customWidth="1"/>
    <col min="5129" max="5129" width="17.7109375" style="5" bestFit="1" customWidth="1"/>
    <col min="5130" max="5130" width="13.5703125" style="5" customWidth="1"/>
    <col min="5131" max="5131" width="18.5703125" style="5" bestFit="1" customWidth="1"/>
    <col min="5132" max="5133" width="12.28515625" style="5" bestFit="1" customWidth="1"/>
    <col min="5134" max="5376" width="11.42578125" style="5"/>
    <col min="5377" max="5377" width="2.5703125" style="5" customWidth="1"/>
    <col min="5378" max="5378" width="22.42578125" style="5" customWidth="1"/>
    <col min="5379" max="5379" width="12.140625" style="5" bestFit="1" customWidth="1"/>
    <col min="5380" max="5380" width="8.140625" style="5" customWidth="1"/>
    <col min="5381" max="5381" width="8.5703125" style="5" customWidth="1"/>
    <col min="5382" max="5382" width="17" style="5" bestFit="1" customWidth="1"/>
    <col min="5383" max="5383" width="16.7109375" style="5" bestFit="1" customWidth="1"/>
    <col min="5384" max="5384" width="18" style="5" bestFit="1" customWidth="1"/>
    <col min="5385" max="5385" width="17.7109375" style="5" bestFit="1" customWidth="1"/>
    <col min="5386" max="5386" width="13.5703125" style="5" customWidth="1"/>
    <col min="5387" max="5387" width="18.5703125" style="5" bestFit="1" customWidth="1"/>
    <col min="5388" max="5389" width="12.28515625" style="5" bestFit="1" customWidth="1"/>
    <col min="5390" max="5632" width="11.42578125" style="5"/>
    <col min="5633" max="5633" width="2.5703125" style="5" customWidth="1"/>
    <col min="5634" max="5634" width="22.42578125" style="5" customWidth="1"/>
    <col min="5635" max="5635" width="12.140625" style="5" bestFit="1" customWidth="1"/>
    <col min="5636" max="5636" width="8.140625" style="5" customWidth="1"/>
    <col min="5637" max="5637" width="8.5703125" style="5" customWidth="1"/>
    <col min="5638" max="5638" width="17" style="5" bestFit="1" customWidth="1"/>
    <col min="5639" max="5639" width="16.7109375" style="5" bestFit="1" customWidth="1"/>
    <col min="5640" max="5640" width="18" style="5" bestFit="1" customWidth="1"/>
    <col min="5641" max="5641" width="17.7109375" style="5" bestFit="1" customWidth="1"/>
    <col min="5642" max="5642" width="13.5703125" style="5" customWidth="1"/>
    <col min="5643" max="5643" width="18.5703125" style="5" bestFit="1" customWidth="1"/>
    <col min="5644" max="5645" width="12.28515625" style="5" bestFit="1" customWidth="1"/>
    <col min="5646" max="5888" width="11.42578125" style="5"/>
    <col min="5889" max="5889" width="2.5703125" style="5" customWidth="1"/>
    <col min="5890" max="5890" width="22.42578125" style="5" customWidth="1"/>
    <col min="5891" max="5891" width="12.140625" style="5" bestFit="1" customWidth="1"/>
    <col min="5892" max="5892" width="8.140625" style="5" customWidth="1"/>
    <col min="5893" max="5893" width="8.5703125" style="5" customWidth="1"/>
    <col min="5894" max="5894" width="17" style="5" bestFit="1" customWidth="1"/>
    <col min="5895" max="5895" width="16.7109375" style="5" bestFit="1" customWidth="1"/>
    <col min="5896" max="5896" width="18" style="5" bestFit="1" customWidth="1"/>
    <col min="5897" max="5897" width="17.7109375" style="5" bestFit="1" customWidth="1"/>
    <col min="5898" max="5898" width="13.5703125" style="5" customWidth="1"/>
    <col min="5899" max="5899" width="18.5703125" style="5" bestFit="1" customWidth="1"/>
    <col min="5900" max="5901" width="12.28515625" style="5" bestFit="1" customWidth="1"/>
    <col min="5902" max="6144" width="11.42578125" style="5"/>
    <col min="6145" max="6145" width="2.5703125" style="5" customWidth="1"/>
    <col min="6146" max="6146" width="22.42578125" style="5" customWidth="1"/>
    <col min="6147" max="6147" width="12.140625" style="5" bestFit="1" customWidth="1"/>
    <col min="6148" max="6148" width="8.140625" style="5" customWidth="1"/>
    <col min="6149" max="6149" width="8.5703125" style="5" customWidth="1"/>
    <col min="6150" max="6150" width="17" style="5" bestFit="1" customWidth="1"/>
    <col min="6151" max="6151" width="16.7109375" style="5" bestFit="1" customWidth="1"/>
    <col min="6152" max="6152" width="18" style="5" bestFit="1" customWidth="1"/>
    <col min="6153" max="6153" width="17.7109375" style="5" bestFit="1" customWidth="1"/>
    <col min="6154" max="6154" width="13.5703125" style="5" customWidth="1"/>
    <col min="6155" max="6155" width="18.5703125" style="5" bestFit="1" customWidth="1"/>
    <col min="6156" max="6157" width="12.28515625" style="5" bestFit="1" customWidth="1"/>
    <col min="6158" max="6400" width="11.42578125" style="5"/>
    <col min="6401" max="6401" width="2.5703125" style="5" customWidth="1"/>
    <col min="6402" max="6402" width="22.42578125" style="5" customWidth="1"/>
    <col min="6403" max="6403" width="12.140625" style="5" bestFit="1" customWidth="1"/>
    <col min="6404" max="6404" width="8.140625" style="5" customWidth="1"/>
    <col min="6405" max="6405" width="8.5703125" style="5" customWidth="1"/>
    <col min="6406" max="6406" width="17" style="5" bestFit="1" customWidth="1"/>
    <col min="6407" max="6407" width="16.7109375" style="5" bestFit="1" customWidth="1"/>
    <col min="6408" max="6408" width="18" style="5" bestFit="1" customWidth="1"/>
    <col min="6409" max="6409" width="17.7109375" style="5" bestFit="1" customWidth="1"/>
    <col min="6410" max="6410" width="13.5703125" style="5" customWidth="1"/>
    <col min="6411" max="6411" width="18.5703125" style="5" bestFit="1" customWidth="1"/>
    <col min="6412" max="6413" width="12.28515625" style="5" bestFit="1" customWidth="1"/>
    <col min="6414" max="6656" width="11.42578125" style="5"/>
    <col min="6657" max="6657" width="2.5703125" style="5" customWidth="1"/>
    <col min="6658" max="6658" width="22.42578125" style="5" customWidth="1"/>
    <col min="6659" max="6659" width="12.140625" style="5" bestFit="1" customWidth="1"/>
    <col min="6660" max="6660" width="8.140625" style="5" customWidth="1"/>
    <col min="6661" max="6661" width="8.5703125" style="5" customWidth="1"/>
    <col min="6662" max="6662" width="17" style="5" bestFit="1" customWidth="1"/>
    <col min="6663" max="6663" width="16.7109375" style="5" bestFit="1" customWidth="1"/>
    <col min="6664" max="6664" width="18" style="5" bestFit="1" customWidth="1"/>
    <col min="6665" max="6665" width="17.7109375" style="5" bestFit="1" customWidth="1"/>
    <col min="6666" max="6666" width="13.5703125" style="5" customWidth="1"/>
    <col min="6667" max="6667" width="18.5703125" style="5" bestFit="1" customWidth="1"/>
    <col min="6668" max="6669" width="12.28515625" style="5" bestFit="1" customWidth="1"/>
    <col min="6670" max="6912" width="11.42578125" style="5"/>
    <col min="6913" max="6913" width="2.5703125" style="5" customWidth="1"/>
    <col min="6914" max="6914" width="22.42578125" style="5" customWidth="1"/>
    <col min="6915" max="6915" width="12.140625" style="5" bestFit="1" customWidth="1"/>
    <col min="6916" max="6916" width="8.140625" style="5" customWidth="1"/>
    <col min="6917" max="6917" width="8.5703125" style="5" customWidth="1"/>
    <col min="6918" max="6918" width="17" style="5" bestFit="1" customWidth="1"/>
    <col min="6919" max="6919" width="16.7109375" style="5" bestFit="1" customWidth="1"/>
    <col min="6920" max="6920" width="18" style="5" bestFit="1" customWidth="1"/>
    <col min="6921" max="6921" width="17.7109375" style="5" bestFit="1" customWidth="1"/>
    <col min="6922" max="6922" width="13.5703125" style="5" customWidth="1"/>
    <col min="6923" max="6923" width="18.5703125" style="5" bestFit="1" customWidth="1"/>
    <col min="6924" max="6925" width="12.28515625" style="5" bestFit="1" customWidth="1"/>
    <col min="6926" max="7168" width="11.42578125" style="5"/>
    <col min="7169" max="7169" width="2.5703125" style="5" customWidth="1"/>
    <col min="7170" max="7170" width="22.42578125" style="5" customWidth="1"/>
    <col min="7171" max="7171" width="12.140625" style="5" bestFit="1" customWidth="1"/>
    <col min="7172" max="7172" width="8.140625" style="5" customWidth="1"/>
    <col min="7173" max="7173" width="8.5703125" style="5" customWidth="1"/>
    <col min="7174" max="7174" width="17" style="5" bestFit="1" customWidth="1"/>
    <col min="7175" max="7175" width="16.7109375" style="5" bestFit="1" customWidth="1"/>
    <col min="7176" max="7176" width="18" style="5" bestFit="1" customWidth="1"/>
    <col min="7177" max="7177" width="17.7109375" style="5" bestFit="1" customWidth="1"/>
    <col min="7178" max="7178" width="13.5703125" style="5" customWidth="1"/>
    <col min="7179" max="7179" width="18.5703125" style="5" bestFit="1" customWidth="1"/>
    <col min="7180" max="7181" width="12.28515625" style="5" bestFit="1" customWidth="1"/>
    <col min="7182" max="7424" width="11.42578125" style="5"/>
    <col min="7425" max="7425" width="2.5703125" style="5" customWidth="1"/>
    <col min="7426" max="7426" width="22.42578125" style="5" customWidth="1"/>
    <col min="7427" max="7427" width="12.140625" style="5" bestFit="1" customWidth="1"/>
    <col min="7428" max="7428" width="8.140625" style="5" customWidth="1"/>
    <col min="7429" max="7429" width="8.5703125" style="5" customWidth="1"/>
    <col min="7430" max="7430" width="17" style="5" bestFit="1" customWidth="1"/>
    <col min="7431" max="7431" width="16.7109375" style="5" bestFit="1" customWidth="1"/>
    <col min="7432" max="7432" width="18" style="5" bestFit="1" customWidth="1"/>
    <col min="7433" max="7433" width="17.7109375" style="5" bestFit="1" customWidth="1"/>
    <col min="7434" max="7434" width="13.5703125" style="5" customWidth="1"/>
    <col min="7435" max="7435" width="18.5703125" style="5" bestFit="1" customWidth="1"/>
    <col min="7436" max="7437" width="12.28515625" style="5" bestFit="1" customWidth="1"/>
    <col min="7438" max="7680" width="11.42578125" style="5"/>
    <col min="7681" max="7681" width="2.5703125" style="5" customWidth="1"/>
    <col min="7682" max="7682" width="22.42578125" style="5" customWidth="1"/>
    <col min="7683" max="7683" width="12.140625" style="5" bestFit="1" customWidth="1"/>
    <col min="7684" max="7684" width="8.140625" style="5" customWidth="1"/>
    <col min="7685" max="7685" width="8.5703125" style="5" customWidth="1"/>
    <col min="7686" max="7686" width="17" style="5" bestFit="1" customWidth="1"/>
    <col min="7687" max="7687" width="16.7109375" style="5" bestFit="1" customWidth="1"/>
    <col min="7688" max="7688" width="18" style="5" bestFit="1" customWidth="1"/>
    <col min="7689" max="7689" width="17.7109375" style="5" bestFit="1" customWidth="1"/>
    <col min="7690" max="7690" width="13.5703125" style="5" customWidth="1"/>
    <col min="7691" max="7691" width="18.5703125" style="5" bestFit="1" customWidth="1"/>
    <col min="7692" max="7693" width="12.28515625" style="5" bestFit="1" customWidth="1"/>
    <col min="7694" max="7936" width="11.42578125" style="5"/>
    <col min="7937" max="7937" width="2.5703125" style="5" customWidth="1"/>
    <col min="7938" max="7938" width="22.42578125" style="5" customWidth="1"/>
    <col min="7939" max="7939" width="12.140625" style="5" bestFit="1" customWidth="1"/>
    <col min="7940" max="7940" width="8.140625" style="5" customWidth="1"/>
    <col min="7941" max="7941" width="8.5703125" style="5" customWidth="1"/>
    <col min="7942" max="7942" width="17" style="5" bestFit="1" customWidth="1"/>
    <col min="7943" max="7943" width="16.7109375" style="5" bestFit="1" customWidth="1"/>
    <col min="7944" max="7944" width="18" style="5" bestFit="1" customWidth="1"/>
    <col min="7945" max="7945" width="17.7109375" style="5" bestFit="1" customWidth="1"/>
    <col min="7946" max="7946" width="13.5703125" style="5" customWidth="1"/>
    <col min="7947" max="7947" width="18.5703125" style="5" bestFit="1" customWidth="1"/>
    <col min="7948" max="7949" width="12.28515625" style="5" bestFit="1" customWidth="1"/>
    <col min="7950" max="8192" width="11.42578125" style="5"/>
    <col min="8193" max="8193" width="2.5703125" style="5" customWidth="1"/>
    <col min="8194" max="8194" width="22.42578125" style="5" customWidth="1"/>
    <col min="8195" max="8195" width="12.140625" style="5" bestFit="1" customWidth="1"/>
    <col min="8196" max="8196" width="8.140625" style="5" customWidth="1"/>
    <col min="8197" max="8197" width="8.5703125" style="5" customWidth="1"/>
    <col min="8198" max="8198" width="17" style="5" bestFit="1" customWidth="1"/>
    <col min="8199" max="8199" width="16.7109375" style="5" bestFit="1" customWidth="1"/>
    <col min="8200" max="8200" width="18" style="5" bestFit="1" customWidth="1"/>
    <col min="8201" max="8201" width="17.7109375" style="5" bestFit="1" customWidth="1"/>
    <col min="8202" max="8202" width="13.5703125" style="5" customWidth="1"/>
    <col min="8203" max="8203" width="18.5703125" style="5" bestFit="1" customWidth="1"/>
    <col min="8204" max="8205" width="12.28515625" style="5" bestFit="1" customWidth="1"/>
    <col min="8206" max="8448" width="11.42578125" style="5"/>
    <col min="8449" max="8449" width="2.5703125" style="5" customWidth="1"/>
    <col min="8450" max="8450" width="22.42578125" style="5" customWidth="1"/>
    <col min="8451" max="8451" width="12.140625" style="5" bestFit="1" customWidth="1"/>
    <col min="8452" max="8452" width="8.140625" style="5" customWidth="1"/>
    <col min="8453" max="8453" width="8.5703125" style="5" customWidth="1"/>
    <col min="8454" max="8454" width="17" style="5" bestFit="1" customWidth="1"/>
    <col min="8455" max="8455" width="16.7109375" style="5" bestFit="1" customWidth="1"/>
    <col min="8456" max="8456" width="18" style="5" bestFit="1" customWidth="1"/>
    <col min="8457" max="8457" width="17.7109375" style="5" bestFit="1" customWidth="1"/>
    <col min="8458" max="8458" width="13.5703125" style="5" customWidth="1"/>
    <col min="8459" max="8459" width="18.5703125" style="5" bestFit="1" customWidth="1"/>
    <col min="8460" max="8461" width="12.28515625" style="5" bestFit="1" customWidth="1"/>
    <col min="8462" max="8704" width="11.42578125" style="5"/>
    <col min="8705" max="8705" width="2.5703125" style="5" customWidth="1"/>
    <col min="8706" max="8706" width="22.42578125" style="5" customWidth="1"/>
    <col min="8707" max="8707" width="12.140625" style="5" bestFit="1" customWidth="1"/>
    <col min="8708" max="8708" width="8.140625" style="5" customWidth="1"/>
    <col min="8709" max="8709" width="8.5703125" style="5" customWidth="1"/>
    <col min="8710" max="8710" width="17" style="5" bestFit="1" customWidth="1"/>
    <col min="8711" max="8711" width="16.7109375" style="5" bestFit="1" customWidth="1"/>
    <col min="8712" max="8712" width="18" style="5" bestFit="1" customWidth="1"/>
    <col min="8713" max="8713" width="17.7109375" style="5" bestFit="1" customWidth="1"/>
    <col min="8714" max="8714" width="13.5703125" style="5" customWidth="1"/>
    <col min="8715" max="8715" width="18.5703125" style="5" bestFit="1" customWidth="1"/>
    <col min="8716" max="8717" width="12.28515625" style="5" bestFit="1" customWidth="1"/>
    <col min="8718" max="8960" width="11.42578125" style="5"/>
    <col min="8961" max="8961" width="2.5703125" style="5" customWidth="1"/>
    <col min="8962" max="8962" width="22.42578125" style="5" customWidth="1"/>
    <col min="8963" max="8963" width="12.140625" style="5" bestFit="1" customWidth="1"/>
    <col min="8964" max="8964" width="8.140625" style="5" customWidth="1"/>
    <col min="8965" max="8965" width="8.5703125" style="5" customWidth="1"/>
    <col min="8966" max="8966" width="17" style="5" bestFit="1" customWidth="1"/>
    <col min="8967" max="8967" width="16.7109375" style="5" bestFit="1" customWidth="1"/>
    <col min="8968" max="8968" width="18" style="5" bestFit="1" customWidth="1"/>
    <col min="8969" max="8969" width="17.7109375" style="5" bestFit="1" customWidth="1"/>
    <col min="8970" max="8970" width="13.5703125" style="5" customWidth="1"/>
    <col min="8971" max="8971" width="18.5703125" style="5" bestFit="1" customWidth="1"/>
    <col min="8972" max="8973" width="12.28515625" style="5" bestFit="1" customWidth="1"/>
    <col min="8974" max="9216" width="11.42578125" style="5"/>
    <col min="9217" max="9217" width="2.5703125" style="5" customWidth="1"/>
    <col min="9218" max="9218" width="22.42578125" style="5" customWidth="1"/>
    <col min="9219" max="9219" width="12.140625" style="5" bestFit="1" customWidth="1"/>
    <col min="9220" max="9220" width="8.140625" style="5" customWidth="1"/>
    <col min="9221" max="9221" width="8.5703125" style="5" customWidth="1"/>
    <col min="9222" max="9222" width="17" style="5" bestFit="1" customWidth="1"/>
    <col min="9223" max="9223" width="16.7109375" style="5" bestFit="1" customWidth="1"/>
    <col min="9224" max="9224" width="18" style="5" bestFit="1" customWidth="1"/>
    <col min="9225" max="9225" width="17.7109375" style="5" bestFit="1" customWidth="1"/>
    <col min="9226" max="9226" width="13.5703125" style="5" customWidth="1"/>
    <col min="9227" max="9227" width="18.5703125" style="5" bestFit="1" customWidth="1"/>
    <col min="9228" max="9229" width="12.28515625" style="5" bestFit="1" customWidth="1"/>
    <col min="9230" max="9472" width="11.42578125" style="5"/>
    <col min="9473" max="9473" width="2.5703125" style="5" customWidth="1"/>
    <col min="9474" max="9474" width="22.42578125" style="5" customWidth="1"/>
    <col min="9475" max="9475" width="12.140625" style="5" bestFit="1" customWidth="1"/>
    <col min="9476" max="9476" width="8.140625" style="5" customWidth="1"/>
    <col min="9477" max="9477" width="8.5703125" style="5" customWidth="1"/>
    <col min="9478" max="9478" width="17" style="5" bestFit="1" customWidth="1"/>
    <col min="9479" max="9479" width="16.7109375" style="5" bestFit="1" customWidth="1"/>
    <col min="9480" max="9480" width="18" style="5" bestFit="1" customWidth="1"/>
    <col min="9481" max="9481" width="17.7109375" style="5" bestFit="1" customWidth="1"/>
    <col min="9482" max="9482" width="13.5703125" style="5" customWidth="1"/>
    <col min="9483" max="9483" width="18.5703125" style="5" bestFit="1" customWidth="1"/>
    <col min="9484" max="9485" width="12.28515625" style="5" bestFit="1" customWidth="1"/>
    <col min="9486" max="9728" width="11.42578125" style="5"/>
    <col min="9729" max="9729" width="2.5703125" style="5" customWidth="1"/>
    <col min="9730" max="9730" width="22.42578125" style="5" customWidth="1"/>
    <col min="9731" max="9731" width="12.140625" style="5" bestFit="1" customWidth="1"/>
    <col min="9732" max="9732" width="8.140625" style="5" customWidth="1"/>
    <col min="9733" max="9733" width="8.5703125" style="5" customWidth="1"/>
    <col min="9734" max="9734" width="17" style="5" bestFit="1" customWidth="1"/>
    <col min="9735" max="9735" width="16.7109375" style="5" bestFit="1" customWidth="1"/>
    <col min="9736" max="9736" width="18" style="5" bestFit="1" customWidth="1"/>
    <col min="9737" max="9737" width="17.7109375" style="5" bestFit="1" customWidth="1"/>
    <col min="9738" max="9738" width="13.5703125" style="5" customWidth="1"/>
    <col min="9739" max="9739" width="18.5703125" style="5" bestFit="1" customWidth="1"/>
    <col min="9740" max="9741" width="12.28515625" style="5" bestFit="1" customWidth="1"/>
    <col min="9742" max="9984" width="11.42578125" style="5"/>
    <col min="9985" max="9985" width="2.5703125" style="5" customWidth="1"/>
    <col min="9986" max="9986" width="22.42578125" style="5" customWidth="1"/>
    <col min="9987" max="9987" width="12.140625" style="5" bestFit="1" customWidth="1"/>
    <col min="9988" max="9988" width="8.140625" style="5" customWidth="1"/>
    <col min="9989" max="9989" width="8.5703125" style="5" customWidth="1"/>
    <col min="9990" max="9990" width="17" style="5" bestFit="1" customWidth="1"/>
    <col min="9991" max="9991" width="16.7109375" style="5" bestFit="1" customWidth="1"/>
    <col min="9992" max="9992" width="18" style="5" bestFit="1" customWidth="1"/>
    <col min="9993" max="9993" width="17.7109375" style="5" bestFit="1" customWidth="1"/>
    <col min="9994" max="9994" width="13.5703125" style="5" customWidth="1"/>
    <col min="9995" max="9995" width="18.5703125" style="5" bestFit="1" customWidth="1"/>
    <col min="9996" max="9997" width="12.28515625" style="5" bestFit="1" customWidth="1"/>
    <col min="9998" max="10240" width="11.42578125" style="5"/>
    <col min="10241" max="10241" width="2.5703125" style="5" customWidth="1"/>
    <col min="10242" max="10242" width="22.42578125" style="5" customWidth="1"/>
    <col min="10243" max="10243" width="12.140625" style="5" bestFit="1" customWidth="1"/>
    <col min="10244" max="10244" width="8.140625" style="5" customWidth="1"/>
    <col min="10245" max="10245" width="8.5703125" style="5" customWidth="1"/>
    <col min="10246" max="10246" width="17" style="5" bestFit="1" customWidth="1"/>
    <col min="10247" max="10247" width="16.7109375" style="5" bestFit="1" customWidth="1"/>
    <col min="10248" max="10248" width="18" style="5" bestFit="1" customWidth="1"/>
    <col min="10249" max="10249" width="17.7109375" style="5" bestFit="1" customWidth="1"/>
    <col min="10250" max="10250" width="13.5703125" style="5" customWidth="1"/>
    <col min="10251" max="10251" width="18.5703125" style="5" bestFit="1" customWidth="1"/>
    <col min="10252" max="10253" width="12.28515625" style="5" bestFit="1" customWidth="1"/>
    <col min="10254" max="10496" width="11.42578125" style="5"/>
    <col min="10497" max="10497" width="2.5703125" style="5" customWidth="1"/>
    <col min="10498" max="10498" width="22.42578125" style="5" customWidth="1"/>
    <col min="10499" max="10499" width="12.140625" style="5" bestFit="1" customWidth="1"/>
    <col min="10500" max="10500" width="8.140625" style="5" customWidth="1"/>
    <col min="10501" max="10501" width="8.5703125" style="5" customWidth="1"/>
    <col min="10502" max="10502" width="17" style="5" bestFit="1" customWidth="1"/>
    <col min="10503" max="10503" width="16.7109375" style="5" bestFit="1" customWidth="1"/>
    <col min="10504" max="10504" width="18" style="5" bestFit="1" customWidth="1"/>
    <col min="10505" max="10505" width="17.7109375" style="5" bestFit="1" customWidth="1"/>
    <col min="10506" max="10506" width="13.5703125" style="5" customWidth="1"/>
    <col min="10507" max="10507" width="18.5703125" style="5" bestFit="1" customWidth="1"/>
    <col min="10508" max="10509" width="12.28515625" style="5" bestFit="1" customWidth="1"/>
    <col min="10510" max="10752" width="11.42578125" style="5"/>
    <col min="10753" max="10753" width="2.5703125" style="5" customWidth="1"/>
    <col min="10754" max="10754" width="22.42578125" style="5" customWidth="1"/>
    <col min="10755" max="10755" width="12.140625" style="5" bestFit="1" customWidth="1"/>
    <col min="10756" max="10756" width="8.140625" style="5" customWidth="1"/>
    <col min="10757" max="10757" width="8.5703125" style="5" customWidth="1"/>
    <col min="10758" max="10758" width="17" style="5" bestFit="1" customWidth="1"/>
    <col min="10759" max="10759" width="16.7109375" style="5" bestFit="1" customWidth="1"/>
    <col min="10760" max="10760" width="18" style="5" bestFit="1" customWidth="1"/>
    <col min="10761" max="10761" width="17.7109375" style="5" bestFit="1" customWidth="1"/>
    <col min="10762" max="10762" width="13.5703125" style="5" customWidth="1"/>
    <col min="10763" max="10763" width="18.5703125" style="5" bestFit="1" customWidth="1"/>
    <col min="10764" max="10765" width="12.28515625" style="5" bestFit="1" customWidth="1"/>
    <col min="10766" max="11008" width="11.42578125" style="5"/>
    <col min="11009" max="11009" width="2.5703125" style="5" customWidth="1"/>
    <col min="11010" max="11010" width="22.42578125" style="5" customWidth="1"/>
    <col min="11011" max="11011" width="12.140625" style="5" bestFit="1" customWidth="1"/>
    <col min="11012" max="11012" width="8.140625" style="5" customWidth="1"/>
    <col min="11013" max="11013" width="8.5703125" style="5" customWidth="1"/>
    <col min="11014" max="11014" width="17" style="5" bestFit="1" customWidth="1"/>
    <col min="11015" max="11015" width="16.7109375" style="5" bestFit="1" customWidth="1"/>
    <col min="11016" max="11016" width="18" style="5" bestFit="1" customWidth="1"/>
    <col min="11017" max="11017" width="17.7109375" style="5" bestFit="1" customWidth="1"/>
    <col min="11018" max="11018" width="13.5703125" style="5" customWidth="1"/>
    <col min="11019" max="11019" width="18.5703125" style="5" bestFit="1" customWidth="1"/>
    <col min="11020" max="11021" width="12.28515625" style="5" bestFit="1" customWidth="1"/>
    <col min="11022" max="11264" width="11.42578125" style="5"/>
    <col min="11265" max="11265" width="2.5703125" style="5" customWidth="1"/>
    <col min="11266" max="11266" width="22.42578125" style="5" customWidth="1"/>
    <col min="11267" max="11267" width="12.140625" style="5" bestFit="1" customWidth="1"/>
    <col min="11268" max="11268" width="8.140625" style="5" customWidth="1"/>
    <col min="11269" max="11269" width="8.5703125" style="5" customWidth="1"/>
    <col min="11270" max="11270" width="17" style="5" bestFit="1" customWidth="1"/>
    <col min="11271" max="11271" width="16.7109375" style="5" bestFit="1" customWidth="1"/>
    <col min="11272" max="11272" width="18" style="5" bestFit="1" customWidth="1"/>
    <col min="11273" max="11273" width="17.7109375" style="5" bestFit="1" customWidth="1"/>
    <col min="11274" max="11274" width="13.5703125" style="5" customWidth="1"/>
    <col min="11275" max="11275" width="18.5703125" style="5" bestFit="1" customWidth="1"/>
    <col min="11276" max="11277" width="12.28515625" style="5" bestFit="1" customWidth="1"/>
    <col min="11278" max="11520" width="11.42578125" style="5"/>
    <col min="11521" max="11521" width="2.5703125" style="5" customWidth="1"/>
    <col min="11522" max="11522" width="22.42578125" style="5" customWidth="1"/>
    <col min="11523" max="11523" width="12.140625" style="5" bestFit="1" customWidth="1"/>
    <col min="11524" max="11524" width="8.140625" style="5" customWidth="1"/>
    <col min="11525" max="11525" width="8.5703125" style="5" customWidth="1"/>
    <col min="11526" max="11526" width="17" style="5" bestFit="1" customWidth="1"/>
    <col min="11527" max="11527" width="16.7109375" style="5" bestFit="1" customWidth="1"/>
    <col min="11528" max="11528" width="18" style="5" bestFit="1" customWidth="1"/>
    <col min="11529" max="11529" width="17.7109375" style="5" bestFit="1" customWidth="1"/>
    <col min="11530" max="11530" width="13.5703125" style="5" customWidth="1"/>
    <col min="11531" max="11531" width="18.5703125" style="5" bestFit="1" customWidth="1"/>
    <col min="11532" max="11533" width="12.28515625" style="5" bestFit="1" customWidth="1"/>
    <col min="11534" max="11776" width="11.42578125" style="5"/>
    <col min="11777" max="11777" width="2.5703125" style="5" customWidth="1"/>
    <col min="11778" max="11778" width="22.42578125" style="5" customWidth="1"/>
    <col min="11779" max="11779" width="12.140625" style="5" bestFit="1" customWidth="1"/>
    <col min="11780" max="11780" width="8.140625" style="5" customWidth="1"/>
    <col min="11781" max="11781" width="8.5703125" style="5" customWidth="1"/>
    <col min="11782" max="11782" width="17" style="5" bestFit="1" customWidth="1"/>
    <col min="11783" max="11783" width="16.7109375" style="5" bestFit="1" customWidth="1"/>
    <col min="11784" max="11784" width="18" style="5" bestFit="1" customWidth="1"/>
    <col min="11785" max="11785" width="17.7109375" style="5" bestFit="1" customWidth="1"/>
    <col min="11786" max="11786" width="13.5703125" style="5" customWidth="1"/>
    <col min="11787" max="11787" width="18.5703125" style="5" bestFit="1" customWidth="1"/>
    <col min="11788" max="11789" width="12.28515625" style="5" bestFit="1" customWidth="1"/>
    <col min="11790" max="12032" width="11.42578125" style="5"/>
    <col min="12033" max="12033" width="2.5703125" style="5" customWidth="1"/>
    <col min="12034" max="12034" width="22.42578125" style="5" customWidth="1"/>
    <col min="12035" max="12035" width="12.140625" style="5" bestFit="1" customWidth="1"/>
    <col min="12036" max="12036" width="8.140625" style="5" customWidth="1"/>
    <col min="12037" max="12037" width="8.5703125" style="5" customWidth="1"/>
    <col min="12038" max="12038" width="17" style="5" bestFit="1" customWidth="1"/>
    <col min="12039" max="12039" width="16.7109375" style="5" bestFit="1" customWidth="1"/>
    <col min="12040" max="12040" width="18" style="5" bestFit="1" customWidth="1"/>
    <col min="12041" max="12041" width="17.7109375" style="5" bestFit="1" customWidth="1"/>
    <col min="12042" max="12042" width="13.5703125" style="5" customWidth="1"/>
    <col min="12043" max="12043" width="18.5703125" style="5" bestFit="1" customWidth="1"/>
    <col min="12044" max="12045" width="12.28515625" style="5" bestFit="1" customWidth="1"/>
    <col min="12046" max="12288" width="11.42578125" style="5"/>
    <col min="12289" max="12289" width="2.5703125" style="5" customWidth="1"/>
    <col min="12290" max="12290" width="22.42578125" style="5" customWidth="1"/>
    <col min="12291" max="12291" width="12.140625" style="5" bestFit="1" customWidth="1"/>
    <col min="12292" max="12292" width="8.140625" style="5" customWidth="1"/>
    <col min="12293" max="12293" width="8.5703125" style="5" customWidth="1"/>
    <col min="12294" max="12294" width="17" style="5" bestFit="1" customWidth="1"/>
    <col min="12295" max="12295" width="16.7109375" style="5" bestFit="1" customWidth="1"/>
    <col min="12296" max="12296" width="18" style="5" bestFit="1" customWidth="1"/>
    <col min="12297" max="12297" width="17.7109375" style="5" bestFit="1" customWidth="1"/>
    <col min="12298" max="12298" width="13.5703125" style="5" customWidth="1"/>
    <col min="12299" max="12299" width="18.5703125" style="5" bestFit="1" customWidth="1"/>
    <col min="12300" max="12301" width="12.28515625" style="5" bestFit="1" customWidth="1"/>
    <col min="12302" max="12544" width="11.42578125" style="5"/>
    <col min="12545" max="12545" width="2.5703125" style="5" customWidth="1"/>
    <col min="12546" max="12546" width="22.42578125" style="5" customWidth="1"/>
    <col min="12547" max="12547" width="12.140625" style="5" bestFit="1" customWidth="1"/>
    <col min="12548" max="12548" width="8.140625" style="5" customWidth="1"/>
    <col min="12549" max="12549" width="8.5703125" style="5" customWidth="1"/>
    <col min="12550" max="12550" width="17" style="5" bestFit="1" customWidth="1"/>
    <col min="12551" max="12551" width="16.7109375" style="5" bestFit="1" customWidth="1"/>
    <col min="12552" max="12552" width="18" style="5" bestFit="1" customWidth="1"/>
    <col min="12553" max="12553" width="17.7109375" style="5" bestFit="1" customWidth="1"/>
    <col min="12554" max="12554" width="13.5703125" style="5" customWidth="1"/>
    <col min="12555" max="12555" width="18.5703125" style="5" bestFit="1" customWidth="1"/>
    <col min="12556" max="12557" width="12.28515625" style="5" bestFit="1" customWidth="1"/>
    <col min="12558" max="12800" width="11.42578125" style="5"/>
    <col min="12801" max="12801" width="2.5703125" style="5" customWidth="1"/>
    <col min="12802" max="12802" width="22.42578125" style="5" customWidth="1"/>
    <col min="12803" max="12803" width="12.140625" style="5" bestFit="1" customWidth="1"/>
    <col min="12804" max="12804" width="8.140625" style="5" customWidth="1"/>
    <col min="12805" max="12805" width="8.5703125" style="5" customWidth="1"/>
    <col min="12806" max="12806" width="17" style="5" bestFit="1" customWidth="1"/>
    <col min="12807" max="12807" width="16.7109375" style="5" bestFit="1" customWidth="1"/>
    <col min="12808" max="12808" width="18" style="5" bestFit="1" customWidth="1"/>
    <col min="12809" max="12809" width="17.7109375" style="5" bestFit="1" customWidth="1"/>
    <col min="12810" max="12810" width="13.5703125" style="5" customWidth="1"/>
    <col min="12811" max="12811" width="18.5703125" style="5" bestFit="1" customWidth="1"/>
    <col min="12812" max="12813" width="12.28515625" style="5" bestFit="1" customWidth="1"/>
    <col min="12814" max="13056" width="11.42578125" style="5"/>
    <col min="13057" max="13057" width="2.5703125" style="5" customWidth="1"/>
    <col min="13058" max="13058" width="22.42578125" style="5" customWidth="1"/>
    <col min="13059" max="13059" width="12.140625" style="5" bestFit="1" customWidth="1"/>
    <col min="13060" max="13060" width="8.140625" style="5" customWidth="1"/>
    <col min="13061" max="13061" width="8.5703125" style="5" customWidth="1"/>
    <col min="13062" max="13062" width="17" style="5" bestFit="1" customWidth="1"/>
    <col min="13063" max="13063" width="16.7109375" style="5" bestFit="1" customWidth="1"/>
    <col min="13064" max="13064" width="18" style="5" bestFit="1" customWidth="1"/>
    <col min="13065" max="13065" width="17.7109375" style="5" bestFit="1" customWidth="1"/>
    <col min="13066" max="13066" width="13.5703125" style="5" customWidth="1"/>
    <col min="13067" max="13067" width="18.5703125" style="5" bestFit="1" customWidth="1"/>
    <col min="13068" max="13069" width="12.28515625" style="5" bestFit="1" customWidth="1"/>
    <col min="13070" max="13312" width="11.42578125" style="5"/>
    <col min="13313" max="13313" width="2.5703125" style="5" customWidth="1"/>
    <col min="13314" max="13314" width="22.42578125" style="5" customWidth="1"/>
    <col min="13315" max="13315" width="12.140625" style="5" bestFit="1" customWidth="1"/>
    <col min="13316" max="13316" width="8.140625" style="5" customWidth="1"/>
    <col min="13317" max="13317" width="8.5703125" style="5" customWidth="1"/>
    <col min="13318" max="13318" width="17" style="5" bestFit="1" customWidth="1"/>
    <col min="13319" max="13319" width="16.7109375" style="5" bestFit="1" customWidth="1"/>
    <col min="13320" max="13320" width="18" style="5" bestFit="1" customWidth="1"/>
    <col min="13321" max="13321" width="17.7109375" style="5" bestFit="1" customWidth="1"/>
    <col min="13322" max="13322" width="13.5703125" style="5" customWidth="1"/>
    <col min="13323" max="13323" width="18.5703125" style="5" bestFit="1" customWidth="1"/>
    <col min="13324" max="13325" width="12.28515625" style="5" bestFit="1" customWidth="1"/>
    <col min="13326" max="13568" width="11.42578125" style="5"/>
    <col min="13569" max="13569" width="2.5703125" style="5" customWidth="1"/>
    <col min="13570" max="13570" width="22.42578125" style="5" customWidth="1"/>
    <col min="13571" max="13571" width="12.140625" style="5" bestFit="1" customWidth="1"/>
    <col min="13572" max="13572" width="8.140625" style="5" customWidth="1"/>
    <col min="13573" max="13573" width="8.5703125" style="5" customWidth="1"/>
    <col min="13574" max="13574" width="17" style="5" bestFit="1" customWidth="1"/>
    <col min="13575" max="13575" width="16.7109375" style="5" bestFit="1" customWidth="1"/>
    <col min="13576" max="13576" width="18" style="5" bestFit="1" customWidth="1"/>
    <col min="13577" max="13577" width="17.7109375" style="5" bestFit="1" customWidth="1"/>
    <col min="13578" max="13578" width="13.5703125" style="5" customWidth="1"/>
    <col min="13579" max="13579" width="18.5703125" style="5" bestFit="1" customWidth="1"/>
    <col min="13580" max="13581" width="12.28515625" style="5" bestFit="1" customWidth="1"/>
    <col min="13582" max="13824" width="11.42578125" style="5"/>
    <col min="13825" max="13825" width="2.5703125" style="5" customWidth="1"/>
    <col min="13826" max="13826" width="22.42578125" style="5" customWidth="1"/>
    <col min="13827" max="13827" width="12.140625" style="5" bestFit="1" customWidth="1"/>
    <col min="13828" max="13828" width="8.140625" style="5" customWidth="1"/>
    <col min="13829" max="13829" width="8.5703125" style="5" customWidth="1"/>
    <col min="13830" max="13830" width="17" style="5" bestFit="1" customWidth="1"/>
    <col min="13831" max="13831" width="16.7109375" style="5" bestFit="1" customWidth="1"/>
    <col min="13832" max="13832" width="18" style="5" bestFit="1" customWidth="1"/>
    <col min="13833" max="13833" width="17.7109375" style="5" bestFit="1" customWidth="1"/>
    <col min="13834" max="13834" width="13.5703125" style="5" customWidth="1"/>
    <col min="13835" max="13835" width="18.5703125" style="5" bestFit="1" customWidth="1"/>
    <col min="13836" max="13837" width="12.28515625" style="5" bestFit="1" customWidth="1"/>
    <col min="13838" max="14080" width="11.42578125" style="5"/>
    <col min="14081" max="14081" width="2.5703125" style="5" customWidth="1"/>
    <col min="14082" max="14082" width="22.42578125" style="5" customWidth="1"/>
    <col min="14083" max="14083" width="12.140625" style="5" bestFit="1" customWidth="1"/>
    <col min="14084" max="14084" width="8.140625" style="5" customWidth="1"/>
    <col min="14085" max="14085" width="8.5703125" style="5" customWidth="1"/>
    <col min="14086" max="14086" width="17" style="5" bestFit="1" customWidth="1"/>
    <col min="14087" max="14087" width="16.7109375" style="5" bestFit="1" customWidth="1"/>
    <col min="14088" max="14088" width="18" style="5" bestFit="1" customWidth="1"/>
    <col min="14089" max="14089" width="17.7109375" style="5" bestFit="1" customWidth="1"/>
    <col min="14090" max="14090" width="13.5703125" style="5" customWidth="1"/>
    <col min="14091" max="14091" width="18.5703125" style="5" bestFit="1" customWidth="1"/>
    <col min="14092" max="14093" width="12.28515625" style="5" bestFit="1" customWidth="1"/>
    <col min="14094" max="14336" width="11.42578125" style="5"/>
    <col min="14337" max="14337" width="2.5703125" style="5" customWidth="1"/>
    <col min="14338" max="14338" width="22.42578125" style="5" customWidth="1"/>
    <col min="14339" max="14339" width="12.140625" style="5" bestFit="1" customWidth="1"/>
    <col min="14340" max="14340" width="8.140625" style="5" customWidth="1"/>
    <col min="14341" max="14341" width="8.5703125" style="5" customWidth="1"/>
    <col min="14342" max="14342" width="17" style="5" bestFit="1" customWidth="1"/>
    <col min="14343" max="14343" width="16.7109375" style="5" bestFit="1" customWidth="1"/>
    <col min="14344" max="14344" width="18" style="5" bestFit="1" customWidth="1"/>
    <col min="14345" max="14345" width="17.7109375" style="5" bestFit="1" customWidth="1"/>
    <col min="14346" max="14346" width="13.5703125" style="5" customWidth="1"/>
    <col min="14347" max="14347" width="18.5703125" style="5" bestFit="1" customWidth="1"/>
    <col min="14348" max="14349" width="12.28515625" style="5" bestFit="1" customWidth="1"/>
    <col min="14350" max="14592" width="11.42578125" style="5"/>
    <col min="14593" max="14593" width="2.5703125" style="5" customWidth="1"/>
    <col min="14594" max="14594" width="22.42578125" style="5" customWidth="1"/>
    <col min="14595" max="14595" width="12.140625" style="5" bestFit="1" customWidth="1"/>
    <col min="14596" max="14596" width="8.140625" style="5" customWidth="1"/>
    <col min="14597" max="14597" width="8.5703125" style="5" customWidth="1"/>
    <col min="14598" max="14598" width="17" style="5" bestFit="1" customWidth="1"/>
    <col min="14599" max="14599" width="16.7109375" style="5" bestFit="1" customWidth="1"/>
    <col min="14600" max="14600" width="18" style="5" bestFit="1" customWidth="1"/>
    <col min="14601" max="14601" width="17.7109375" style="5" bestFit="1" customWidth="1"/>
    <col min="14602" max="14602" width="13.5703125" style="5" customWidth="1"/>
    <col min="14603" max="14603" width="18.5703125" style="5" bestFit="1" customWidth="1"/>
    <col min="14604" max="14605" width="12.28515625" style="5" bestFit="1" customWidth="1"/>
    <col min="14606" max="14848" width="11.42578125" style="5"/>
    <col min="14849" max="14849" width="2.5703125" style="5" customWidth="1"/>
    <col min="14850" max="14850" width="22.42578125" style="5" customWidth="1"/>
    <col min="14851" max="14851" width="12.140625" style="5" bestFit="1" customWidth="1"/>
    <col min="14852" max="14852" width="8.140625" style="5" customWidth="1"/>
    <col min="14853" max="14853" width="8.5703125" style="5" customWidth="1"/>
    <col min="14854" max="14854" width="17" style="5" bestFit="1" customWidth="1"/>
    <col min="14855" max="14855" width="16.7109375" style="5" bestFit="1" customWidth="1"/>
    <col min="14856" max="14856" width="18" style="5" bestFit="1" customWidth="1"/>
    <col min="14857" max="14857" width="17.7109375" style="5" bestFit="1" customWidth="1"/>
    <col min="14858" max="14858" width="13.5703125" style="5" customWidth="1"/>
    <col min="14859" max="14859" width="18.5703125" style="5" bestFit="1" customWidth="1"/>
    <col min="14860" max="14861" width="12.28515625" style="5" bestFit="1" customWidth="1"/>
    <col min="14862" max="15104" width="11.42578125" style="5"/>
    <col min="15105" max="15105" width="2.5703125" style="5" customWidth="1"/>
    <col min="15106" max="15106" width="22.42578125" style="5" customWidth="1"/>
    <col min="15107" max="15107" width="12.140625" style="5" bestFit="1" customWidth="1"/>
    <col min="15108" max="15108" width="8.140625" style="5" customWidth="1"/>
    <col min="15109" max="15109" width="8.5703125" style="5" customWidth="1"/>
    <col min="15110" max="15110" width="17" style="5" bestFit="1" customWidth="1"/>
    <col min="15111" max="15111" width="16.7109375" style="5" bestFit="1" customWidth="1"/>
    <col min="15112" max="15112" width="18" style="5" bestFit="1" customWidth="1"/>
    <col min="15113" max="15113" width="17.7109375" style="5" bestFit="1" customWidth="1"/>
    <col min="15114" max="15114" width="13.5703125" style="5" customWidth="1"/>
    <col min="15115" max="15115" width="18.5703125" style="5" bestFit="1" customWidth="1"/>
    <col min="15116" max="15117" width="12.28515625" style="5" bestFit="1" customWidth="1"/>
    <col min="15118" max="15360" width="11.42578125" style="5"/>
    <col min="15361" max="15361" width="2.5703125" style="5" customWidth="1"/>
    <col min="15362" max="15362" width="22.42578125" style="5" customWidth="1"/>
    <col min="15363" max="15363" width="12.140625" style="5" bestFit="1" customWidth="1"/>
    <col min="15364" max="15364" width="8.140625" style="5" customWidth="1"/>
    <col min="15365" max="15365" width="8.5703125" style="5" customWidth="1"/>
    <col min="15366" max="15366" width="17" style="5" bestFit="1" customWidth="1"/>
    <col min="15367" max="15367" width="16.7109375" style="5" bestFit="1" customWidth="1"/>
    <col min="15368" max="15368" width="18" style="5" bestFit="1" customWidth="1"/>
    <col min="15369" max="15369" width="17.7109375" style="5" bestFit="1" customWidth="1"/>
    <col min="15370" max="15370" width="13.5703125" style="5" customWidth="1"/>
    <col min="15371" max="15371" width="18.5703125" style="5" bestFit="1" customWidth="1"/>
    <col min="15372" max="15373" width="12.28515625" style="5" bestFit="1" customWidth="1"/>
    <col min="15374" max="15616" width="11.42578125" style="5"/>
    <col min="15617" max="15617" width="2.5703125" style="5" customWidth="1"/>
    <col min="15618" max="15618" width="22.42578125" style="5" customWidth="1"/>
    <col min="15619" max="15619" width="12.140625" style="5" bestFit="1" customWidth="1"/>
    <col min="15620" max="15620" width="8.140625" style="5" customWidth="1"/>
    <col min="15621" max="15621" width="8.5703125" style="5" customWidth="1"/>
    <col min="15622" max="15622" width="17" style="5" bestFit="1" customWidth="1"/>
    <col min="15623" max="15623" width="16.7109375" style="5" bestFit="1" customWidth="1"/>
    <col min="15624" max="15624" width="18" style="5" bestFit="1" customWidth="1"/>
    <col min="15625" max="15625" width="17.7109375" style="5" bestFit="1" customWidth="1"/>
    <col min="15626" max="15626" width="13.5703125" style="5" customWidth="1"/>
    <col min="15627" max="15627" width="18.5703125" style="5" bestFit="1" customWidth="1"/>
    <col min="15628" max="15629" width="12.28515625" style="5" bestFit="1" customWidth="1"/>
    <col min="15630" max="15872" width="11.42578125" style="5"/>
    <col min="15873" max="15873" width="2.5703125" style="5" customWidth="1"/>
    <col min="15874" max="15874" width="22.42578125" style="5" customWidth="1"/>
    <col min="15875" max="15875" width="12.140625" style="5" bestFit="1" customWidth="1"/>
    <col min="15876" max="15876" width="8.140625" style="5" customWidth="1"/>
    <col min="15877" max="15877" width="8.5703125" style="5" customWidth="1"/>
    <col min="15878" max="15878" width="17" style="5" bestFit="1" customWidth="1"/>
    <col min="15879" max="15879" width="16.7109375" style="5" bestFit="1" customWidth="1"/>
    <col min="15880" max="15880" width="18" style="5" bestFit="1" customWidth="1"/>
    <col min="15881" max="15881" width="17.7109375" style="5" bestFit="1" customWidth="1"/>
    <col min="15882" max="15882" width="13.5703125" style="5" customWidth="1"/>
    <col min="15883" max="15883" width="18.5703125" style="5" bestFit="1" customWidth="1"/>
    <col min="15884" max="15885" width="12.28515625" style="5" bestFit="1" customWidth="1"/>
    <col min="15886" max="16128" width="11.42578125" style="5"/>
    <col min="16129" max="16129" width="2.5703125" style="5" customWidth="1"/>
    <col min="16130" max="16130" width="22.42578125" style="5" customWidth="1"/>
    <col min="16131" max="16131" width="12.140625" style="5" bestFit="1" customWidth="1"/>
    <col min="16132" max="16132" width="8.140625" style="5" customWidth="1"/>
    <col min="16133" max="16133" width="8.5703125" style="5" customWidth="1"/>
    <col min="16134" max="16134" width="17" style="5" bestFit="1" customWidth="1"/>
    <col min="16135" max="16135" width="16.7109375" style="5" bestFit="1" customWidth="1"/>
    <col min="16136" max="16136" width="18" style="5" bestFit="1" customWidth="1"/>
    <col min="16137" max="16137" width="17.7109375" style="5" bestFit="1" customWidth="1"/>
    <col min="16138" max="16138" width="13.5703125" style="5" customWidth="1"/>
    <col min="16139" max="16139" width="18.5703125" style="5" bestFit="1" customWidth="1"/>
    <col min="16140" max="16141" width="12.28515625" style="5" bestFit="1" customWidth="1"/>
    <col min="16142" max="16384" width="11.42578125" style="5"/>
  </cols>
  <sheetData>
    <row r="1" spans="1:13" x14ac:dyDescent="0.2">
      <c r="A1" s="2" t="s">
        <v>87</v>
      </c>
      <c r="B1" s="2"/>
      <c r="C1" s="3"/>
      <c r="D1" s="3"/>
      <c r="E1" s="4"/>
    </row>
    <row r="2" spans="1:13" x14ac:dyDescent="0.2">
      <c r="A2" s="6" t="s">
        <v>0</v>
      </c>
      <c r="B2" s="6"/>
      <c r="C2" s="3"/>
      <c r="D2" s="3"/>
    </row>
    <row r="3" spans="1:13" x14ac:dyDescent="0.2">
      <c r="A3" s="7" t="s">
        <v>85</v>
      </c>
      <c r="B3" s="6"/>
      <c r="C3" s="3"/>
      <c r="D3" s="3"/>
      <c r="M3" s="8"/>
    </row>
    <row r="4" spans="1:13" x14ac:dyDescent="0.2">
      <c r="A4" s="9" t="s">
        <v>2</v>
      </c>
      <c r="B4" s="9"/>
      <c r="C4" s="10" t="s">
        <v>3</v>
      </c>
      <c r="D4" s="71" t="s">
        <v>4</v>
      </c>
      <c r="E4" s="71"/>
      <c r="F4" s="10" t="s">
        <v>5</v>
      </c>
      <c r="G4" s="11" t="s">
        <v>6</v>
      </c>
      <c r="H4" s="11" t="s">
        <v>7</v>
      </c>
      <c r="I4" s="10" t="s">
        <v>8</v>
      </c>
      <c r="J4" s="10" t="s">
        <v>9</v>
      </c>
      <c r="K4" s="10" t="s">
        <v>9</v>
      </c>
      <c r="L4" s="10" t="s">
        <v>9</v>
      </c>
      <c r="M4" s="10" t="s">
        <v>9</v>
      </c>
    </row>
    <row r="5" spans="1:13" x14ac:dyDescent="0.2">
      <c r="C5" s="12" t="s">
        <v>10</v>
      </c>
      <c r="D5" s="13" t="s">
        <v>11</v>
      </c>
      <c r="E5" s="13" t="s">
        <v>12</v>
      </c>
      <c r="F5" s="12" t="s">
        <v>13</v>
      </c>
      <c r="G5" s="12" t="s">
        <v>14</v>
      </c>
      <c r="H5" s="13" t="s">
        <v>15</v>
      </c>
      <c r="I5" s="13" t="s">
        <v>16</v>
      </c>
      <c r="J5" s="13" t="s">
        <v>17</v>
      </c>
      <c r="K5" s="13" t="s">
        <v>18</v>
      </c>
      <c r="L5" s="66" t="s">
        <v>19</v>
      </c>
      <c r="M5" s="15" t="s">
        <v>20</v>
      </c>
    </row>
    <row r="6" spans="1:13" x14ac:dyDescent="0.2">
      <c r="A6" s="8"/>
      <c r="B6" s="8"/>
      <c r="C6" s="8"/>
      <c r="D6" s="8"/>
      <c r="E6" s="8"/>
      <c r="F6" s="16" t="s">
        <v>21</v>
      </c>
      <c r="G6" s="16" t="s">
        <v>10</v>
      </c>
      <c r="H6" s="16" t="s">
        <v>21</v>
      </c>
      <c r="I6" s="18"/>
      <c r="J6" s="8"/>
      <c r="K6" s="8"/>
      <c r="L6" s="8"/>
      <c r="M6" s="8"/>
    </row>
    <row r="7" spans="1:13" x14ac:dyDescent="0.2">
      <c r="F7" s="12"/>
      <c r="G7" s="19"/>
      <c r="H7" s="12"/>
      <c r="I7" s="13"/>
    </row>
    <row r="8" spans="1:13" x14ac:dyDescent="0.2">
      <c r="A8" s="72" t="s">
        <v>22</v>
      </c>
      <c r="B8" s="72"/>
      <c r="C8" s="5">
        <v>1547170</v>
      </c>
      <c r="D8" s="20">
        <v>0.67</v>
      </c>
      <c r="E8" s="20">
        <v>0.28000000000000003</v>
      </c>
      <c r="F8" s="5">
        <v>3368862</v>
      </c>
      <c r="G8" s="5">
        <f>+J8+K8+L8+M8</f>
        <v>4543739</v>
      </c>
      <c r="H8" s="21">
        <f t="shared" ref="H8:H33" si="0">G8-F8</f>
        <v>1174877</v>
      </c>
      <c r="I8" s="5">
        <v>45477</v>
      </c>
      <c r="J8" s="5">
        <v>0</v>
      </c>
      <c r="K8" s="5">
        <f>218370+1015358+622219</f>
        <v>1855947</v>
      </c>
      <c r="L8" s="5">
        <v>0</v>
      </c>
      <c r="M8" s="5">
        <v>2687792</v>
      </c>
    </row>
    <row r="9" spans="1:13" s="21" customFormat="1" x14ac:dyDescent="0.2">
      <c r="A9" s="1" t="s">
        <v>23</v>
      </c>
      <c r="B9" s="7"/>
      <c r="C9" s="5">
        <v>6375604</v>
      </c>
      <c r="D9" s="20">
        <v>0.96</v>
      </c>
      <c r="E9" s="20">
        <v>0.25</v>
      </c>
      <c r="F9" s="5">
        <v>25115793</v>
      </c>
      <c r="G9" s="21">
        <f t="shared" ref="G9:G34" si="1">+J9+K9+L9+M9</f>
        <v>29065643</v>
      </c>
      <c r="H9" s="21">
        <f t="shared" si="0"/>
        <v>3949850</v>
      </c>
      <c r="I9" s="5">
        <v>14702759</v>
      </c>
      <c r="J9" s="5">
        <v>0</v>
      </c>
      <c r="K9" s="5">
        <f>1856050+16349047+589875</f>
        <v>18794972</v>
      </c>
      <c r="L9" s="5">
        <v>24778</v>
      </c>
      <c r="M9" s="5">
        <v>10245893</v>
      </c>
    </row>
    <row r="10" spans="1:13" s="21" customFormat="1" x14ac:dyDescent="0.2">
      <c r="A10" s="1" t="s">
        <v>24</v>
      </c>
      <c r="B10" s="1"/>
      <c r="C10" s="5">
        <v>3731386</v>
      </c>
      <c r="D10" s="20">
        <v>3.26</v>
      </c>
      <c r="E10" s="20">
        <v>0.97</v>
      </c>
      <c r="F10" s="5">
        <v>12789482</v>
      </c>
      <c r="G10" s="21">
        <f t="shared" si="1"/>
        <v>13482283</v>
      </c>
      <c r="H10" s="21">
        <f t="shared" si="0"/>
        <v>692801</v>
      </c>
      <c r="I10" s="5">
        <v>1013918</v>
      </c>
      <c r="J10" s="5">
        <v>0</v>
      </c>
      <c r="K10" s="5">
        <f>1431630+7320607+8940+298914</f>
        <v>9060091</v>
      </c>
      <c r="L10" s="5">
        <v>0</v>
      </c>
      <c r="M10" s="5">
        <v>4422192</v>
      </c>
    </row>
    <row r="11" spans="1:13" x14ac:dyDescent="0.2">
      <c r="A11" s="1" t="s">
        <v>25</v>
      </c>
      <c r="B11" s="1"/>
      <c r="C11" s="5">
        <v>3209616</v>
      </c>
      <c r="D11" s="20">
        <v>3.69</v>
      </c>
      <c r="E11" s="20">
        <v>0.08</v>
      </c>
      <c r="F11" s="5">
        <v>43129470</v>
      </c>
      <c r="G11" s="5">
        <f>+J11+K11+L11+M11</f>
        <v>49794098</v>
      </c>
      <c r="H11" s="21">
        <f>G11-F11</f>
        <v>6664628</v>
      </c>
      <c r="I11" s="5">
        <v>1059809</v>
      </c>
      <c r="J11" s="5">
        <v>37392044</v>
      </c>
      <c r="K11" s="5">
        <f>303437+2224373</f>
        <v>2527810</v>
      </c>
      <c r="L11" s="5">
        <v>0</v>
      </c>
      <c r="M11" s="5">
        <v>9874244</v>
      </c>
    </row>
    <row r="12" spans="1:13" x14ac:dyDescent="0.2">
      <c r="A12" s="1" t="s">
        <v>26</v>
      </c>
      <c r="B12" s="1"/>
      <c r="C12" s="5">
        <v>5762513</v>
      </c>
      <c r="D12" s="20">
        <v>4.24</v>
      </c>
      <c r="E12" s="20">
        <v>0.8</v>
      </c>
      <c r="F12" s="5">
        <v>35924132</v>
      </c>
      <c r="G12" s="21">
        <f>+J12+K12+L12+M12</f>
        <v>39052549</v>
      </c>
      <c r="H12" s="21">
        <f>G12-F12</f>
        <v>3128417</v>
      </c>
      <c r="I12" s="5">
        <v>273724</v>
      </c>
      <c r="J12" s="5">
        <v>17288085</v>
      </c>
      <c r="K12" s="5">
        <f>1646226+5162406+283414+5786815</f>
        <v>12878861</v>
      </c>
      <c r="L12" s="5">
        <v>0</v>
      </c>
      <c r="M12" s="5">
        <v>8885603</v>
      </c>
    </row>
    <row r="13" spans="1:13" x14ac:dyDescent="0.2">
      <c r="A13" s="73" t="s">
        <v>27</v>
      </c>
      <c r="B13" s="74"/>
      <c r="C13" s="5">
        <v>27188743</v>
      </c>
      <c r="D13" s="20">
        <v>13.5</v>
      </c>
      <c r="E13" s="20">
        <v>0.66</v>
      </c>
      <c r="F13" s="5">
        <v>400722046</v>
      </c>
      <c r="G13" s="5">
        <f>+J13+K13+L13+M13</f>
        <v>402992232</v>
      </c>
      <c r="H13" s="21">
        <f t="shared" si="0"/>
        <v>2270186</v>
      </c>
      <c r="I13" s="5">
        <v>8176698</v>
      </c>
      <c r="J13" s="5">
        <v>371353600</v>
      </c>
      <c r="K13" s="5">
        <f>633796+3816093+0</f>
        <v>4449889</v>
      </c>
      <c r="L13" s="5">
        <v>0</v>
      </c>
      <c r="M13" s="5">
        <v>27188743</v>
      </c>
    </row>
    <row r="14" spans="1:13" s="21" customFormat="1" x14ac:dyDescent="0.2">
      <c r="A14" s="1" t="s">
        <v>28</v>
      </c>
      <c r="B14" s="7"/>
      <c r="C14" s="5">
        <v>3899508</v>
      </c>
      <c r="D14" s="20">
        <v>2.42</v>
      </c>
      <c r="E14" s="20">
        <v>0.64</v>
      </c>
      <c r="F14" s="5">
        <v>14816711</v>
      </c>
      <c r="G14" s="21">
        <f>+J14+K14+L14+M14</f>
        <v>15990026</v>
      </c>
      <c r="H14" s="21">
        <f t="shared" si="0"/>
        <v>1173315</v>
      </c>
      <c r="I14" s="5">
        <v>146742</v>
      </c>
      <c r="J14" s="5">
        <v>0</v>
      </c>
      <c r="K14" s="5">
        <f>1481151+9436052</f>
        <v>10917203</v>
      </c>
      <c r="L14" s="5">
        <v>0</v>
      </c>
      <c r="M14" s="5">
        <v>5072823</v>
      </c>
    </row>
    <row r="15" spans="1:13" x14ac:dyDescent="0.2">
      <c r="A15" s="1" t="s">
        <v>29</v>
      </c>
      <c r="B15" s="7"/>
      <c r="C15" s="5">
        <v>37294182</v>
      </c>
      <c r="D15" s="20">
        <v>7.76</v>
      </c>
      <c r="E15" s="20">
        <v>0.09</v>
      </c>
      <c r="F15" s="5">
        <v>564816132</v>
      </c>
      <c r="G15" s="5">
        <f t="shared" si="1"/>
        <v>588176412</v>
      </c>
      <c r="H15" s="21">
        <f t="shared" si="0"/>
        <v>23360280</v>
      </c>
      <c r="I15" s="5">
        <v>932519</v>
      </c>
      <c r="J15" s="5">
        <v>487689518</v>
      </c>
      <c r="K15" s="5">
        <f>10097455+29840895+1151559+22072688</f>
        <v>63162597</v>
      </c>
      <c r="L15" s="5">
        <v>30115</v>
      </c>
      <c r="M15" s="5">
        <v>37294182</v>
      </c>
    </row>
    <row r="16" spans="1:13" s="23" customFormat="1" x14ac:dyDescent="0.2">
      <c r="A16" s="1" t="s">
        <v>30</v>
      </c>
      <c r="B16" s="1"/>
      <c r="C16" s="21">
        <v>7282588</v>
      </c>
      <c r="D16" s="22">
        <v>5.0999999999999996</v>
      </c>
      <c r="E16" s="22">
        <v>0.12</v>
      </c>
      <c r="F16" s="21">
        <v>98262330</v>
      </c>
      <c r="G16" s="21">
        <f t="shared" si="1"/>
        <v>109413661</v>
      </c>
      <c r="H16" s="21">
        <f t="shared" si="0"/>
        <v>11151331</v>
      </c>
      <c r="I16" s="21">
        <v>193758</v>
      </c>
      <c r="J16" s="21">
        <v>97984620</v>
      </c>
      <c r="K16" s="21">
        <f>1627282+1491314+1027857+0</f>
        <v>4146453</v>
      </c>
      <c r="L16" s="21">
        <v>0</v>
      </c>
      <c r="M16" s="21">
        <v>7282588</v>
      </c>
    </row>
    <row r="17" spans="1:13" x14ac:dyDescent="0.2">
      <c r="A17" s="1" t="s">
        <v>31</v>
      </c>
      <c r="B17" s="7"/>
      <c r="C17" s="5">
        <v>18741488</v>
      </c>
      <c r="D17" s="20">
        <v>7.04</v>
      </c>
      <c r="E17" s="20">
        <v>0.15</v>
      </c>
      <c r="F17" s="5">
        <v>293968416</v>
      </c>
      <c r="G17" s="5">
        <f>+J17+K17+L17+M17</f>
        <v>308912646</v>
      </c>
      <c r="H17" s="21">
        <f t="shared" si="0"/>
        <v>14944230</v>
      </c>
      <c r="I17" s="5">
        <v>8398472</v>
      </c>
      <c r="J17" s="5">
        <v>273770222</v>
      </c>
      <c r="K17" s="5">
        <f>26658+1430048</f>
        <v>1456706</v>
      </c>
      <c r="L17" s="5">
        <v>0</v>
      </c>
      <c r="M17" s="5">
        <v>33685718</v>
      </c>
    </row>
    <row r="18" spans="1:13" x14ac:dyDescent="0.2">
      <c r="A18" s="1" t="s">
        <v>32</v>
      </c>
      <c r="B18" s="1"/>
      <c r="C18" s="5">
        <v>110699520</v>
      </c>
      <c r="D18" s="20">
        <v>7.2</v>
      </c>
      <c r="E18" s="20">
        <v>0.56000000000000005</v>
      </c>
      <c r="F18" s="5">
        <v>1445855126</v>
      </c>
      <c r="G18" s="5">
        <f t="shared" si="1"/>
        <v>1538256558</v>
      </c>
      <c r="H18" s="21">
        <f t="shared" si="0"/>
        <v>92401432</v>
      </c>
      <c r="I18" s="5">
        <v>27308983</v>
      </c>
      <c r="J18" s="5">
        <v>1227892374</v>
      </c>
      <c r="K18" s="5">
        <f>1896273+40718398+9101506+39426118</f>
        <v>91142295</v>
      </c>
      <c r="L18" s="5">
        <v>9790045</v>
      </c>
      <c r="M18" s="5">
        <v>209431844</v>
      </c>
    </row>
    <row r="19" spans="1:13" x14ac:dyDescent="0.2">
      <c r="A19" s="1" t="s">
        <v>33</v>
      </c>
      <c r="B19" s="1"/>
      <c r="C19" s="5">
        <v>52412261</v>
      </c>
      <c r="D19" s="20">
        <v>8.8000000000000007</v>
      </c>
      <c r="E19" s="20">
        <v>0.1</v>
      </c>
      <c r="F19" s="5">
        <v>805797731</v>
      </c>
      <c r="G19" s="5">
        <f t="shared" si="1"/>
        <v>827149134</v>
      </c>
      <c r="H19" s="21">
        <f t="shared" si="0"/>
        <v>21351403</v>
      </c>
      <c r="I19" s="5">
        <v>5473582</v>
      </c>
      <c r="J19" s="5">
        <v>746738650</v>
      </c>
      <c r="K19" s="5">
        <f>1368725+22844714+9881+3578265</f>
        <v>27801585</v>
      </c>
      <c r="L19" s="5">
        <v>196638</v>
      </c>
      <c r="M19" s="5">
        <v>52412261</v>
      </c>
    </row>
    <row r="20" spans="1:13" x14ac:dyDescent="0.2">
      <c r="A20" s="1" t="s">
        <v>34</v>
      </c>
      <c r="B20" s="1"/>
      <c r="C20" s="5">
        <v>20273331</v>
      </c>
      <c r="D20" s="20">
        <v>7.7</v>
      </c>
      <c r="E20" s="20">
        <v>0.23</v>
      </c>
      <c r="F20" s="5">
        <v>267715707</v>
      </c>
      <c r="G20" s="5">
        <f t="shared" si="1"/>
        <v>279078716</v>
      </c>
      <c r="H20" s="21">
        <f t="shared" si="0"/>
        <v>11363009</v>
      </c>
      <c r="I20" s="5">
        <v>5213529</v>
      </c>
      <c r="J20" s="5">
        <v>227033174</v>
      </c>
      <c r="K20" s="5">
        <f>2052582+6955258+1347022+10330616</f>
        <v>20685478</v>
      </c>
      <c r="L20" s="5">
        <v>46316</v>
      </c>
      <c r="M20" s="5">
        <v>31313748</v>
      </c>
    </row>
    <row r="21" spans="1:13" x14ac:dyDescent="0.2">
      <c r="A21" s="1" t="s">
        <v>35</v>
      </c>
      <c r="B21" s="1"/>
      <c r="C21" s="5">
        <v>21989119</v>
      </c>
      <c r="D21" s="20">
        <v>10.74</v>
      </c>
      <c r="E21" s="20">
        <v>0.44</v>
      </c>
      <c r="F21" s="5">
        <v>341365659</v>
      </c>
      <c r="G21" s="5">
        <f t="shared" si="1"/>
        <v>343877641</v>
      </c>
      <c r="H21" s="21">
        <f t="shared" si="0"/>
        <v>2511982</v>
      </c>
      <c r="I21" s="5">
        <v>854666</v>
      </c>
      <c r="J21" s="5">
        <v>271149591</v>
      </c>
      <c r="K21" s="5">
        <f>2045608+12039481+15752185+20966895</f>
        <v>50804169</v>
      </c>
      <c r="L21" s="5">
        <v>123014</v>
      </c>
      <c r="M21" s="5">
        <v>21800867</v>
      </c>
    </row>
    <row r="22" spans="1:13" x14ac:dyDescent="0.2">
      <c r="A22" s="1" t="s">
        <v>36</v>
      </c>
      <c r="B22" s="1"/>
      <c r="C22" s="5">
        <v>1547170</v>
      </c>
      <c r="D22" s="20">
        <v>1.56</v>
      </c>
      <c r="E22" s="20">
        <v>0.1</v>
      </c>
      <c r="F22" s="5">
        <v>5188905</v>
      </c>
      <c r="G22" s="5">
        <f t="shared" si="1"/>
        <v>6181647</v>
      </c>
      <c r="H22" s="21">
        <f t="shared" si="0"/>
        <v>992742</v>
      </c>
      <c r="I22" s="5">
        <v>9224</v>
      </c>
      <c r="J22" s="5">
        <v>0</v>
      </c>
      <c r="K22" s="5">
        <f>82768+3558967</f>
        <v>3641735</v>
      </c>
      <c r="L22" s="5">
        <v>0</v>
      </c>
      <c r="M22" s="5">
        <v>2539912</v>
      </c>
    </row>
    <row r="23" spans="1:13" s="3" customFormat="1" x14ac:dyDescent="0.2">
      <c r="A23" s="1" t="s">
        <v>37</v>
      </c>
      <c r="B23" s="1"/>
      <c r="C23" s="5">
        <v>81452094</v>
      </c>
      <c r="D23" s="20">
        <v>9.15</v>
      </c>
      <c r="E23" s="20">
        <v>0.09</v>
      </c>
      <c r="F23" s="5">
        <v>1252338062</v>
      </c>
      <c r="G23" s="21">
        <f t="shared" si="1"/>
        <v>1272093568</v>
      </c>
      <c r="H23" s="21">
        <f t="shared" si="0"/>
        <v>19755506</v>
      </c>
      <c r="I23" s="5">
        <v>7871868</v>
      </c>
      <c r="J23" s="5">
        <v>1076428913</v>
      </c>
      <c r="K23" s="5">
        <f>4028050+45672729+14099849+30548959</f>
        <v>94349587</v>
      </c>
      <c r="L23" s="5">
        <v>144269</v>
      </c>
      <c r="M23" s="5">
        <v>101170799</v>
      </c>
    </row>
    <row r="24" spans="1:13" s="3" customFormat="1" x14ac:dyDescent="0.2">
      <c r="A24" s="1" t="s">
        <v>38</v>
      </c>
      <c r="B24" s="1"/>
      <c r="C24" s="5">
        <v>11319545</v>
      </c>
      <c r="D24" s="20">
        <v>2.84</v>
      </c>
      <c r="E24" s="20">
        <v>0.34</v>
      </c>
      <c r="F24" s="5">
        <v>118229687</v>
      </c>
      <c r="G24" s="21">
        <f t="shared" si="1"/>
        <v>134894543</v>
      </c>
      <c r="H24" s="21">
        <f>G24-F24</f>
        <v>16664856</v>
      </c>
      <c r="I24" s="5">
        <v>10960985</v>
      </c>
      <c r="J24" s="5">
        <v>32850010</v>
      </c>
      <c r="K24" s="5">
        <f>2076286+42327261+266206+28651395</f>
        <v>73321148</v>
      </c>
      <c r="L24" s="5">
        <v>0</v>
      </c>
      <c r="M24" s="5">
        <v>28723385</v>
      </c>
    </row>
    <row r="25" spans="1:13" x14ac:dyDescent="0.2">
      <c r="A25" s="1" t="s">
        <v>39</v>
      </c>
      <c r="B25" s="7"/>
      <c r="C25" s="5">
        <v>28531750</v>
      </c>
      <c r="D25" s="20">
        <v>11.58</v>
      </c>
      <c r="E25" s="20">
        <v>0.08</v>
      </c>
      <c r="F25" s="5">
        <v>453694070</v>
      </c>
      <c r="G25" s="5">
        <f t="shared" si="1"/>
        <v>460739490</v>
      </c>
      <c r="H25" s="21">
        <f>G25-F25</f>
        <v>7045420</v>
      </c>
      <c r="I25" s="5">
        <v>81639</v>
      </c>
      <c r="J25" s="5">
        <v>394726115</v>
      </c>
      <c r="K25" s="5">
        <f>30436205+0</f>
        <v>30436205</v>
      </c>
      <c r="L25" s="5">
        <v>0</v>
      </c>
      <c r="M25" s="5">
        <v>35577170</v>
      </c>
    </row>
    <row r="26" spans="1:13" s="21" customFormat="1" x14ac:dyDescent="0.2">
      <c r="A26" s="1" t="s">
        <v>40</v>
      </c>
      <c r="B26" s="1"/>
      <c r="C26" s="5">
        <v>1547170</v>
      </c>
      <c r="D26" s="20">
        <v>3.62</v>
      </c>
      <c r="E26" s="20">
        <v>0.34</v>
      </c>
      <c r="F26" s="5">
        <v>14669954</v>
      </c>
      <c r="G26" s="21">
        <f t="shared" si="1"/>
        <v>16561377</v>
      </c>
      <c r="H26" s="21">
        <f t="shared" ref="H26:H32" si="2">G26-F26</f>
        <v>1891423</v>
      </c>
      <c r="I26" s="5">
        <v>31564</v>
      </c>
      <c r="J26" s="5">
        <v>11679569</v>
      </c>
      <c r="K26" s="5">
        <f>875721+354756+184956</f>
        <v>1415433</v>
      </c>
      <c r="L26" s="5">
        <v>30020</v>
      </c>
      <c r="M26" s="5">
        <v>3436355</v>
      </c>
    </row>
    <row r="27" spans="1:13" s="21" customFormat="1" x14ac:dyDescent="0.2">
      <c r="A27" s="1" t="s">
        <v>41</v>
      </c>
      <c r="B27" s="1"/>
      <c r="C27" s="5">
        <v>66494303</v>
      </c>
      <c r="D27" s="20">
        <v>9.2100000000000009</v>
      </c>
      <c r="E27" s="20">
        <v>0.39</v>
      </c>
      <c r="F27" s="5">
        <v>979103681</v>
      </c>
      <c r="G27" s="21">
        <f t="shared" si="1"/>
        <v>987556124</v>
      </c>
      <c r="H27" s="21">
        <f t="shared" si="2"/>
        <v>8452443</v>
      </c>
      <c r="I27" s="5">
        <v>12642941</v>
      </c>
      <c r="J27" s="5">
        <v>891816622</v>
      </c>
      <c r="K27" s="5">
        <f>1366833+5874952+739257+21146021</f>
        <v>29127063</v>
      </c>
      <c r="L27" s="5">
        <v>118136</v>
      </c>
      <c r="M27" s="5">
        <v>66494303</v>
      </c>
    </row>
    <row r="28" spans="1:13" x14ac:dyDescent="0.2">
      <c r="A28" s="1" t="s">
        <v>42</v>
      </c>
      <c r="B28" s="1"/>
      <c r="C28" s="5">
        <v>17506155</v>
      </c>
      <c r="D28" s="20">
        <v>11.14</v>
      </c>
      <c r="E28" s="20">
        <v>0.06</v>
      </c>
      <c r="F28" s="5">
        <v>274292251</v>
      </c>
      <c r="G28" s="5">
        <f t="shared" si="1"/>
        <v>276057489</v>
      </c>
      <c r="H28" s="21">
        <f t="shared" si="2"/>
        <v>1765238</v>
      </c>
      <c r="I28" s="5">
        <v>151639</v>
      </c>
      <c r="J28" s="5">
        <v>253426456</v>
      </c>
      <c r="K28" s="5">
        <f>373648+2985992</f>
        <v>3359640</v>
      </c>
      <c r="L28" s="5">
        <v>0</v>
      </c>
      <c r="M28" s="5">
        <v>19271393</v>
      </c>
    </row>
    <row r="29" spans="1:13" s="21" customFormat="1" x14ac:dyDescent="0.2">
      <c r="A29" s="1" t="s">
        <v>43</v>
      </c>
      <c r="B29" s="7"/>
      <c r="C29" s="5">
        <v>31654778</v>
      </c>
      <c r="D29" s="20">
        <v>8.64</v>
      </c>
      <c r="E29" s="20">
        <v>0.1</v>
      </c>
      <c r="F29" s="5">
        <v>492534162</v>
      </c>
      <c r="G29" s="21">
        <f>+J29+K29+L29+M29</f>
        <v>502132273</v>
      </c>
      <c r="H29" s="21">
        <f>G29-F29</f>
        <v>9598111</v>
      </c>
      <c r="I29" s="5">
        <v>4114918</v>
      </c>
      <c r="J29" s="5">
        <v>451222780</v>
      </c>
      <c r="K29" s="5">
        <f>250828+1755468+9047126+0</f>
        <v>11053422</v>
      </c>
      <c r="L29" s="5">
        <v>39614</v>
      </c>
      <c r="M29" s="5">
        <v>39816457</v>
      </c>
    </row>
    <row r="30" spans="1:13" s="21" customFormat="1" x14ac:dyDescent="0.2">
      <c r="A30" s="1" t="s">
        <v>44</v>
      </c>
      <c r="B30" s="7"/>
      <c r="C30" s="5">
        <v>58527729</v>
      </c>
      <c r="D30" s="20">
        <v>12.35</v>
      </c>
      <c r="E30" s="20">
        <v>0.52</v>
      </c>
      <c r="F30" s="5">
        <v>895721057</v>
      </c>
      <c r="G30" s="21">
        <f t="shared" si="1"/>
        <v>899505009</v>
      </c>
      <c r="H30" s="21">
        <f t="shared" si="2"/>
        <v>3783952</v>
      </c>
      <c r="I30" s="5">
        <v>5783503</v>
      </c>
      <c r="J30" s="5">
        <v>830562219</v>
      </c>
      <c r="K30" s="5">
        <f>1013588+4189231+462258+1049804</f>
        <v>6714881</v>
      </c>
      <c r="L30" s="5">
        <v>0</v>
      </c>
      <c r="M30" s="5">
        <v>62227909</v>
      </c>
    </row>
    <row r="31" spans="1:13" x14ac:dyDescent="0.2">
      <c r="A31" s="1" t="s">
        <v>45</v>
      </c>
      <c r="B31" s="1"/>
      <c r="C31" s="5">
        <v>17488948</v>
      </c>
      <c r="D31" s="20">
        <v>8.4</v>
      </c>
      <c r="E31" s="20">
        <v>0.19</v>
      </c>
      <c r="F31" s="5">
        <v>273844470</v>
      </c>
      <c r="G31" s="5">
        <f t="shared" si="1"/>
        <v>275889946</v>
      </c>
      <c r="H31" s="21">
        <f t="shared" si="2"/>
        <v>2045476</v>
      </c>
      <c r="I31" s="5">
        <v>12470158</v>
      </c>
      <c r="J31" s="5">
        <v>255354645</v>
      </c>
      <c r="K31" s="5">
        <f>612748+175703+270882</f>
        <v>1059333</v>
      </c>
      <c r="L31" s="5">
        <v>1461</v>
      </c>
      <c r="M31" s="5">
        <v>19474507</v>
      </c>
    </row>
    <row r="32" spans="1:13" s="21" customFormat="1" x14ac:dyDescent="0.2">
      <c r="A32" s="1" t="s">
        <v>86</v>
      </c>
      <c r="B32" s="1"/>
      <c r="C32" s="5">
        <v>5685200</v>
      </c>
      <c r="D32" s="20">
        <v>6.97</v>
      </c>
      <c r="E32" s="20">
        <v>0.47</v>
      </c>
      <c r="F32" s="5">
        <v>55385399</v>
      </c>
      <c r="G32" s="5">
        <f t="shared" si="1"/>
        <v>56211029</v>
      </c>
      <c r="H32" s="21">
        <f t="shared" si="2"/>
        <v>825630</v>
      </c>
      <c r="I32" s="5">
        <v>495007</v>
      </c>
      <c r="J32" s="5">
        <v>38280033</v>
      </c>
      <c r="K32" s="5">
        <f>1317657+3052674+3986494+2805425</f>
        <v>11162250</v>
      </c>
      <c r="L32" s="5">
        <v>315143</v>
      </c>
      <c r="M32" s="5">
        <v>6453603</v>
      </c>
    </row>
    <row r="33" spans="1:13" x14ac:dyDescent="0.2">
      <c r="A33" s="1" t="s">
        <v>47</v>
      </c>
      <c r="B33" s="1"/>
      <c r="C33" s="5">
        <v>50054246</v>
      </c>
      <c r="D33" s="20">
        <v>9.4700000000000006</v>
      </c>
      <c r="E33" s="20">
        <v>0.31</v>
      </c>
      <c r="F33" s="5">
        <v>768391211</v>
      </c>
      <c r="G33" s="21">
        <f t="shared" si="1"/>
        <v>791524155</v>
      </c>
      <c r="H33" s="21">
        <f t="shared" si="0"/>
        <v>23132944</v>
      </c>
      <c r="I33" s="5">
        <v>5306806</v>
      </c>
      <c r="J33" s="5">
        <v>702685034</v>
      </c>
      <c r="K33" s="5">
        <f>684406+7124515+2022520+5882120</f>
        <v>15713561</v>
      </c>
      <c r="L33" s="5">
        <v>0</v>
      </c>
      <c r="M33" s="5">
        <v>73125560</v>
      </c>
    </row>
    <row r="34" spans="1:13" x14ac:dyDescent="0.2">
      <c r="A34" s="1" t="s">
        <v>48</v>
      </c>
      <c r="B34" s="1"/>
      <c r="C34" s="5">
        <v>5880649</v>
      </c>
      <c r="D34" s="20">
        <v>6.14</v>
      </c>
      <c r="E34" s="20">
        <v>0.12</v>
      </c>
      <c r="F34" s="5">
        <v>92392354</v>
      </c>
      <c r="G34" s="5">
        <f t="shared" si="1"/>
        <v>100293149</v>
      </c>
      <c r="H34" s="21">
        <f>G34-F34</f>
        <v>7900795</v>
      </c>
      <c r="I34" s="5">
        <v>1135018</v>
      </c>
      <c r="J34" s="5">
        <v>86511705</v>
      </c>
      <c r="K34" s="5">
        <v>0</v>
      </c>
      <c r="L34" s="5">
        <v>0</v>
      </c>
      <c r="M34" s="5">
        <v>13781444</v>
      </c>
    </row>
    <row r="35" spans="1:13" x14ac:dyDescent="0.2">
      <c r="A35" s="68" t="s">
        <v>49</v>
      </c>
      <c r="B35" s="24"/>
      <c r="C35" s="25">
        <f>SUM(C8:C34)</f>
        <v>698096766</v>
      </c>
      <c r="D35" s="26"/>
      <c r="E35" s="26"/>
      <c r="F35" s="25">
        <f t="shared" ref="F35:K35" si="3">SUM(F8:F34)</f>
        <v>10029432860</v>
      </c>
      <c r="G35" s="25">
        <f t="shared" si="3"/>
        <v>10329425137</v>
      </c>
      <c r="H35" s="25">
        <f t="shared" si="3"/>
        <v>299992277</v>
      </c>
      <c r="I35" s="25">
        <f t="shared" si="3"/>
        <v>134849906</v>
      </c>
      <c r="J35" s="25">
        <f t="shared" si="3"/>
        <v>8783835979</v>
      </c>
      <c r="K35" s="25">
        <f t="shared" si="3"/>
        <v>601038314</v>
      </c>
      <c r="L35" s="25">
        <f>SUM(L8:L34)</f>
        <v>10859549</v>
      </c>
      <c r="M35" s="25">
        <f>SUM(M8:M34)</f>
        <v>933691295</v>
      </c>
    </row>
    <row r="36" spans="1:13" x14ac:dyDescent="0.2">
      <c r="A36" s="27"/>
      <c r="B36" s="27"/>
      <c r="D36" s="20"/>
      <c r="E36" s="20"/>
      <c r="M36" s="28"/>
    </row>
    <row r="37" spans="1:13" s="21" customFormat="1" x14ac:dyDescent="0.2">
      <c r="A37" s="1" t="s">
        <v>50</v>
      </c>
      <c r="B37" s="7"/>
      <c r="C37" s="5">
        <v>3613160</v>
      </c>
      <c r="D37" s="20">
        <v>2.35</v>
      </c>
      <c r="E37" s="20">
        <v>0.2</v>
      </c>
      <c r="F37" s="5">
        <v>42092601</v>
      </c>
      <c r="G37" s="5">
        <f>+J37+K37+L37+M37</f>
        <v>49373566</v>
      </c>
      <c r="H37" s="21">
        <f>G37-F37</f>
        <v>7280965</v>
      </c>
      <c r="I37" s="5">
        <v>2895480</v>
      </c>
      <c r="J37" s="5">
        <v>38131318</v>
      </c>
      <c r="K37" s="5">
        <f>266333+81790</f>
        <v>348123</v>
      </c>
      <c r="L37" s="5">
        <v>0</v>
      </c>
      <c r="M37" s="5">
        <v>10894125</v>
      </c>
    </row>
    <row r="38" spans="1:13" x14ac:dyDescent="0.2">
      <c r="A38" s="69" t="s">
        <v>51</v>
      </c>
      <c r="B38" s="30"/>
      <c r="C38" s="25">
        <f t="shared" ref="C38:H38" si="4">SUM(C37:C37)</f>
        <v>3613160</v>
      </c>
      <c r="D38" s="26"/>
      <c r="E38" s="26"/>
      <c r="F38" s="25">
        <f t="shared" si="4"/>
        <v>42092601</v>
      </c>
      <c r="G38" s="25">
        <f t="shared" si="4"/>
        <v>49373566</v>
      </c>
      <c r="H38" s="25">
        <f t="shared" si="4"/>
        <v>7280965</v>
      </c>
      <c r="I38" s="25">
        <f>SUM(I37:I37)</f>
        <v>2895480</v>
      </c>
      <c r="J38" s="25">
        <f>SUM(J37:J37)</f>
        <v>38131318</v>
      </c>
      <c r="K38" s="25">
        <f>SUM(K37:K37)</f>
        <v>348123</v>
      </c>
      <c r="L38" s="25">
        <f>SUM(L37:L37)</f>
        <v>0</v>
      </c>
      <c r="M38" s="25">
        <f>SUM(M37:M37)</f>
        <v>10894125</v>
      </c>
    </row>
    <row r="39" spans="1:13" x14ac:dyDescent="0.2">
      <c r="D39" s="20"/>
      <c r="E39" s="20"/>
      <c r="I39" s="21"/>
      <c r="J39" s="21"/>
      <c r="K39" s="21"/>
      <c r="M39" s="28"/>
    </row>
    <row r="40" spans="1:13" x14ac:dyDescent="0.2">
      <c r="A40" s="70" t="s">
        <v>11</v>
      </c>
      <c r="B40" s="32"/>
      <c r="C40" s="8">
        <f>C35+C38</f>
        <v>701709926</v>
      </c>
      <c r="D40" s="33"/>
      <c r="E40" s="33"/>
      <c r="F40" s="8">
        <f t="shared" ref="F40:M40" si="5">F35+F38</f>
        <v>10071525461</v>
      </c>
      <c r="G40" s="8">
        <f t="shared" si="5"/>
        <v>10378798703</v>
      </c>
      <c r="H40" s="8">
        <f t="shared" si="5"/>
        <v>307273242</v>
      </c>
      <c r="I40" s="8">
        <f t="shared" si="5"/>
        <v>137745386</v>
      </c>
      <c r="J40" s="29">
        <f t="shared" si="5"/>
        <v>8821967297</v>
      </c>
      <c r="K40" s="29">
        <f t="shared" si="5"/>
        <v>601386437</v>
      </c>
      <c r="L40" s="8">
        <f t="shared" si="5"/>
        <v>10859549</v>
      </c>
      <c r="M40" s="8">
        <f t="shared" si="5"/>
        <v>944585420</v>
      </c>
    </row>
    <row r="41" spans="1:13" ht="31.5" customHeight="1" x14ac:dyDescent="0.2">
      <c r="A41" s="34"/>
      <c r="B41" s="34"/>
      <c r="C41" s="77"/>
      <c r="D41" s="78"/>
      <c r="E41" s="78"/>
      <c r="F41" s="78"/>
      <c r="G41" s="78"/>
      <c r="H41" s="78"/>
      <c r="I41" s="78"/>
      <c r="J41" s="78"/>
      <c r="K41" s="78"/>
      <c r="L41" s="78"/>
      <c r="M41" s="78"/>
    </row>
    <row r="42" spans="1:13" ht="26.25" customHeight="1" x14ac:dyDescent="0.2">
      <c r="A42" s="34"/>
      <c r="B42" s="75"/>
      <c r="C42" s="75"/>
      <c r="D42" s="75"/>
      <c r="E42" s="75"/>
      <c r="F42" s="75"/>
      <c r="G42" s="75"/>
      <c r="H42" s="75"/>
      <c r="I42" s="75"/>
      <c r="J42" s="75"/>
      <c r="K42" s="75"/>
      <c r="L42" s="75"/>
      <c r="M42" s="76"/>
    </row>
    <row r="43" spans="1:13" ht="12.75" customHeight="1" x14ac:dyDescent="0.2">
      <c r="A43" s="38"/>
      <c r="B43" s="75" t="s">
        <v>52</v>
      </c>
      <c r="C43" s="75"/>
      <c r="D43" s="75"/>
      <c r="E43" s="75"/>
      <c r="F43" s="75"/>
      <c r="G43" s="75"/>
      <c r="H43" s="75"/>
      <c r="I43" s="75"/>
      <c r="J43" s="75"/>
      <c r="K43" s="75"/>
      <c r="L43" s="75"/>
      <c r="M43" s="76"/>
    </row>
    <row r="44" spans="1:13" ht="12.75" customHeight="1" x14ac:dyDescent="0.2">
      <c r="A44" s="38"/>
      <c r="B44" s="75"/>
      <c r="C44" s="75"/>
      <c r="D44" s="75"/>
      <c r="E44" s="75"/>
      <c r="F44" s="75"/>
      <c r="G44" s="75"/>
      <c r="H44" s="75"/>
      <c r="I44" s="75"/>
      <c r="J44" s="75"/>
      <c r="K44" s="75"/>
      <c r="L44" s="75"/>
      <c r="M44" s="76"/>
    </row>
    <row r="45" spans="1:13" x14ac:dyDescent="0.2">
      <c r="A45" s="38"/>
      <c r="B45" s="38"/>
      <c r="D45" s="20"/>
      <c r="E45" s="20"/>
    </row>
    <row r="46" spans="1:13" x14ac:dyDescent="0.2">
      <c r="A46" s="39" t="s">
        <v>53</v>
      </c>
      <c r="B46" s="40"/>
      <c r="C46" s="40"/>
      <c r="D46" s="40"/>
      <c r="E46" s="40"/>
      <c r="F46" s="40"/>
      <c r="G46" s="40"/>
      <c r="H46" s="40"/>
      <c r="I46" s="40"/>
      <c r="J46" s="40"/>
      <c r="K46" s="40"/>
    </row>
    <row r="47" spans="1:13" x14ac:dyDescent="0.2">
      <c r="A47" s="41" t="s">
        <v>85</v>
      </c>
      <c r="B47" s="40"/>
      <c r="C47" s="40"/>
      <c r="D47" s="40"/>
      <c r="E47" s="40"/>
      <c r="F47" s="40"/>
      <c r="G47" s="40"/>
      <c r="H47" s="40"/>
      <c r="I47" s="40"/>
      <c r="J47" s="40"/>
      <c r="K47" s="40"/>
    </row>
    <row r="48" spans="1:13" x14ac:dyDescent="0.2">
      <c r="A48" s="40"/>
      <c r="B48" s="40"/>
      <c r="C48" s="40"/>
      <c r="D48" s="40"/>
      <c r="E48" s="40"/>
      <c r="F48" s="40"/>
      <c r="G48" s="40"/>
      <c r="H48" s="40"/>
      <c r="I48" s="40"/>
      <c r="J48" s="40"/>
      <c r="K48" s="40"/>
    </row>
    <row r="49" spans="1:11" x14ac:dyDescent="0.2">
      <c r="A49" s="40" t="s">
        <v>54</v>
      </c>
      <c r="B49" s="40"/>
      <c r="C49" s="40"/>
      <c r="D49" s="40"/>
      <c r="E49" s="40"/>
      <c r="F49" s="40"/>
      <c r="G49" s="40"/>
      <c r="H49" s="40"/>
      <c r="I49" s="40"/>
      <c r="J49" s="40"/>
      <c r="K49" s="40"/>
    </row>
    <row r="50" spans="1:11" x14ac:dyDescent="0.2">
      <c r="A50" s="9" t="s">
        <v>2</v>
      </c>
      <c r="B50" s="42"/>
      <c r="C50" s="42"/>
      <c r="D50" s="24" t="s">
        <v>55</v>
      </c>
      <c r="E50" s="43"/>
      <c r="F50" s="44" t="s">
        <v>56</v>
      </c>
      <c r="G50" s="44" t="s">
        <v>9</v>
      </c>
      <c r="H50" s="45" t="s">
        <v>57</v>
      </c>
      <c r="I50" s="44" t="s">
        <v>56</v>
      </c>
      <c r="J50" s="44" t="s">
        <v>9</v>
      </c>
      <c r="K50" s="45" t="s">
        <v>57</v>
      </c>
    </row>
    <row r="51" spans="1:11" x14ac:dyDescent="0.2">
      <c r="A51" s="46"/>
      <c r="B51" s="46"/>
      <c r="C51" s="46"/>
      <c r="D51" s="13" t="s">
        <v>11</v>
      </c>
      <c r="E51" s="13" t="s">
        <v>12</v>
      </c>
      <c r="F51" s="47" t="s">
        <v>58</v>
      </c>
      <c r="G51" s="47" t="s">
        <v>59</v>
      </c>
      <c r="H51" s="47" t="s">
        <v>60</v>
      </c>
      <c r="I51" s="47" t="s">
        <v>61</v>
      </c>
      <c r="J51" s="47" t="s">
        <v>59</v>
      </c>
      <c r="K51" s="47" t="s">
        <v>60</v>
      </c>
    </row>
    <row r="52" spans="1:11" x14ac:dyDescent="0.2">
      <c r="A52" s="48"/>
      <c r="B52" s="48"/>
      <c r="C52" s="48"/>
      <c r="D52" s="48"/>
      <c r="E52" s="48"/>
      <c r="F52" s="49" t="s">
        <v>62</v>
      </c>
      <c r="G52" s="49" t="s">
        <v>63</v>
      </c>
      <c r="H52" s="49" t="s">
        <v>63</v>
      </c>
      <c r="I52" s="49" t="s">
        <v>3</v>
      </c>
      <c r="J52" s="50" t="s">
        <v>64</v>
      </c>
      <c r="K52" s="50" t="s">
        <v>64</v>
      </c>
    </row>
    <row r="53" spans="1:11" x14ac:dyDescent="0.2">
      <c r="A53" s="46"/>
      <c r="B53" s="46"/>
      <c r="C53" s="46"/>
      <c r="D53" s="51"/>
      <c r="E53" s="51"/>
      <c r="F53" s="52"/>
      <c r="G53" s="52"/>
      <c r="H53" s="52"/>
      <c r="I53" s="52"/>
      <c r="J53" s="19"/>
      <c r="K53" s="19"/>
    </row>
    <row r="54" spans="1:11" x14ac:dyDescent="0.2">
      <c r="A54" s="53" t="s">
        <v>65</v>
      </c>
      <c r="B54" s="54"/>
      <c r="C54" s="54"/>
      <c r="D54" s="55">
        <v>0.98</v>
      </c>
      <c r="E54" s="56">
        <v>3.0000000000000001E-3</v>
      </c>
      <c r="F54" s="57">
        <v>52190672</v>
      </c>
      <c r="G54" s="57">
        <f>410281+50423491+1356900</f>
        <v>52190672</v>
      </c>
      <c r="H54" s="57">
        <f>G54-F54</f>
        <v>0</v>
      </c>
      <c r="I54" s="57">
        <v>53423077</v>
      </c>
      <c r="J54" s="57">
        <v>53431283</v>
      </c>
      <c r="K54" s="57">
        <f>J54-I54</f>
        <v>8206</v>
      </c>
    </row>
    <row r="55" spans="1:11" x14ac:dyDescent="0.2">
      <c r="A55" s="58" t="s">
        <v>66</v>
      </c>
      <c r="B55" s="54"/>
      <c r="C55" s="54"/>
      <c r="D55" s="55">
        <v>0.51</v>
      </c>
      <c r="E55" s="55">
        <v>2.5999999999999999E-2</v>
      </c>
      <c r="F55" s="57">
        <v>15681334</v>
      </c>
      <c r="G55" s="57">
        <f>440048+10691325+4549961</f>
        <v>15681334</v>
      </c>
      <c r="H55" s="57">
        <f>G55-F55</f>
        <v>0</v>
      </c>
      <c r="I55" s="57">
        <v>32306543</v>
      </c>
      <c r="J55" s="57">
        <v>33114388</v>
      </c>
      <c r="K55" s="57">
        <f>J55-I55</f>
        <v>807845</v>
      </c>
    </row>
    <row r="56" spans="1:11" x14ac:dyDescent="0.2">
      <c r="A56" s="46"/>
      <c r="B56" s="46"/>
      <c r="C56" s="46"/>
      <c r="D56" s="59"/>
      <c r="E56" s="51"/>
      <c r="F56" s="57"/>
      <c r="G56" s="57"/>
      <c r="H56" s="57"/>
      <c r="I56" s="57"/>
      <c r="J56" s="57"/>
      <c r="K56" s="57"/>
    </row>
    <row r="57" spans="1:11" x14ac:dyDescent="0.2">
      <c r="A57" s="40"/>
      <c r="B57" s="40"/>
      <c r="C57" s="40"/>
      <c r="D57" s="60"/>
      <c r="E57" s="60"/>
      <c r="F57" s="61"/>
      <c r="G57" s="61"/>
      <c r="H57" s="61"/>
      <c r="I57" s="61"/>
      <c r="J57" s="61"/>
      <c r="K57" s="61"/>
    </row>
    <row r="58" spans="1:11" x14ac:dyDescent="0.2">
      <c r="A58" s="62" t="s">
        <v>67</v>
      </c>
      <c r="B58" s="40"/>
      <c r="C58" s="40"/>
      <c r="D58" s="60"/>
      <c r="E58" s="60"/>
      <c r="F58" s="61"/>
      <c r="G58" s="61"/>
      <c r="H58" s="61"/>
      <c r="I58" s="61"/>
      <c r="J58" s="61"/>
      <c r="K58" s="61"/>
    </row>
    <row r="59" spans="1:11" x14ac:dyDescent="0.2">
      <c r="A59" s="9" t="s">
        <v>2</v>
      </c>
      <c r="B59" s="42"/>
      <c r="C59" s="42"/>
      <c r="D59" s="24" t="s">
        <v>55</v>
      </c>
      <c r="E59" s="63"/>
      <c r="F59" s="11" t="s">
        <v>5</v>
      </c>
      <c r="G59" s="11" t="s">
        <v>5</v>
      </c>
      <c r="H59" s="10" t="s">
        <v>9</v>
      </c>
      <c r="I59" s="10" t="s">
        <v>68</v>
      </c>
      <c r="J59" s="57"/>
      <c r="K59" s="57"/>
    </row>
    <row r="60" spans="1:11" x14ac:dyDescent="0.2">
      <c r="A60" s="46"/>
      <c r="B60" s="46"/>
      <c r="C60" s="46"/>
      <c r="D60" s="13" t="s">
        <v>11</v>
      </c>
      <c r="E60" s="13" t="s">
        <v>12</v>
      </c>
      <c r="F60" s="12" t="s">
        <v>69</v>
      </c>
      <c r="G60" s="12" t="s">
        <v>69</v>
      </c>
      <c r="H60" s="13" t="s">
        <v>70</v>
      </c>
      <c r="I60" s="13" t="s">
        <v>60</v>
      </c>
      <c r="J60" s="57"/>
      <c r="K60" s="57"/>
    </row>
    <row r="61" spans="1:11" x14ac:dyDescent="0.2">
      <c r="A61" s="46"/>
      <c r="B61" s="46"/>
      <c r="C61" s="46"/>
      <c r="D61" s="51"/>
      <c r="E61" s="51"/>
      <c r="F61" s="12" t="s">
        <v>71</v>
      </c>
      <c r="G61" s="13" t="s">
        <v>72</v>
      </c>
      <c r="H61" s="12" t="s">
        <v>73</v>
      </c>
      <c r="I61" s="13" t="s">
        <v>74</v>
      </c>
      <c r="J61" s="57"/>
      <c r="K61" s="57"/>
    </row>
    <row r="62" spans="1:11" x14ac:dyDescent="0.2">
      <c r="A62" s="48"/>
      <c r="B62" s="48"/>
      <c r="C62" s="48"/>
      <c r="D62" s="64"/>
      <c r="E62" s="64"/>
      <c r="F62" s="18" t="s">
        <v>75</v>
      </c>
      <c r="G62" s="18" t="s">
        <v>76</v>
      </c>
      <c r="H62" s="18" t="s">
        <v>77</v>
      </c>
      <c r="I62" s="18" t="s">
        <v>77</v>
      </c>
      <c r="J62" s="57"/>
      <c r="K62" s="57"/>
    </row>
    <row r="63" spans="1:11" x14ac:dyDescent="0.2">
      <c r="A63" s="46"/>
      <c r="B63" s="46"/>
      <c r="C63" s="40"/>
      <c r="D63" s="60"/>
      <c r="E63" s="60"/>
      <c r="F63" s="61"/>
      <c r="G63" s="61"/>
      <c r="H63" s="61"/>
      <c r="I63" s="61"/>
      <c r="J63" s="61"/>
      <c r="K63" s="61"/>
    </row>
    <row r="64" spans="1:11" x14ac:dyDescent="0.2">
      <c r="A64" s="54" t="s">
        <v>78</v>
      </c>
      <c r="B64" s="46"/>
      <c r="C64" s="46"/>
      <c r="D64" s="55">
        <v>2.21</v>
      </c>
      <c r="E64" s="55">
        <v>2.5999999999999999E-2</v>
      </c>
      <c r="F64" s="57">
        <v>47764629</v>
      </c>
      <c r="G64" s="57">
        <v>25014716</v>
      </c>
      <c r="H64" s="57">
        <v>73255355</v>
      </c>
      <c r="I64" s="57">
        <f>+H64-G64-F64</f>
        <v>476010</v>
      </c>
      <c r="J64" s="57"/>
      <c r="K64" s="57"/>
    </row>
    <row r="65" spans="1:11" x14ac:dyDescent="0.2">
      <c r="A65" s="40"/>
      <c r="B65" s="40"/>
      <c r="C65" s="40"/>
      <c r="D65" s="60"/>
      <c r="E65" s="60"/>
      <c r="F65" s="61"/>
      <c r="G65" s="61"/>
      <c r="H65" s="61"/>
      <c r="I65" s="61"/>
      <c r="J65" s="61"/>
      <c r="K65" s="61"/>
    </row>
    <row r="66" spans="1:11" x14ac:dyDescent="0.2">
      <c r="A66" s="40"/>
      <c r="B66" s="40"/>
      <c r="C66" s="40"/>
      <c r="D66" s="60"/>
      <c r="E66" s="60"/>
      <c r="F66" s="61"/>
      <c r="G66" s="61"/>
      <c r="H66" s="61"/>
      <c r="I66" s="61"/>
      <c r="J66" s="61"/>
      <c r="K66" s="61"/>
    </row>
    <row r="67" spans="1:11" x14ac:dyDescent="0.2">
      <c r="A67" s="40"/>
      <c r="B67" s="40"/>
      <c r="C67" s="40"/>
      <c r="D67" s="40"/>
      <c r="E67" s="40"/>
      <c r="F67" s="40"/>
      <c r="G67" s="40"/>
      <c r="H67" s="40"/>
      <c r="I67" s="40"/>
      <c r="J67" s="40"/>
      <c r="K67" s="40"/>
    </row>
  </sheetData>
  <mergeCells count="7">
    <mergeCell ref="B44:M44"/>
    <mergeCell ref="D4:E4"/>
    <mergeCell ref="A8:B8"/>
    <mergeCell ref="A13:B13"/>
    <mergeCell ref="C41:M41"/>
    <mergeCell ref="B42:M42"/>
    <mergeCell ref="B43:M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heetViews>
  <sheetFormatPr baseColWidth="10" defaultRowHeight="12.75" x14ac:dyDescent="0.2"/>
  <cols>
    <col min="1" max="1" width="2.5703125" style="5" customWidth="1"/>
    <col min="2" max="2" width="22.42578125" style="5" customWidth="1"/>
    <col min="3" max="3" width="12.140625" style="5" bestFit="1" customWidth="1"/>
    <col min="4" max="4" width="8.140625" style="5" customWidth="1"/>
    <col min="5" max="5" width="8.5703125" style="5" customWidth="1"/>
    <col min="6" max="6" width="17" style="5" bestFit="1" customWidth="1"/>
    <col min="7" max="7" width="16.7109375" style="5" bestFit="1" customWidth="1"/>
    <col min="8" max="8" width="18" style="5" bestFit="1" customWidth="1"/>
    <col min="9" max="9" width="17.7109375" style="5" bestFit="1" customWidth="1"/>
    <col min="10" max="10" width="13.5703125" style="5" customWidth="1"/>
    <col min="11" max="11" width="18.5703125" style="5" bestFit="1" customWidth="1"/>
    <col min="12" max="13" width="12.28515625" style="5" bestFit="1" customWidth="1"/>
    <col min="14" max="256" width="11.42578125" style="5"/>
    <col min="257" max="257" width="2.5703125" style="5" customWidth="1"/>
    <col min="258" max="258" width="22.42578125" style="5" customWidth="1"/>
    <col min="259" max="259" width="12.140625" style="5" bestFit="1" customWidth="1"/>
    <col min="260" max="260" width="8.140625" style="5" customWidth="1"/>
    <col min="261" max="261" width="8.5703125" style="5" customWidth="1"/>
    <col min="262" max="262" width="17" style="5" bestFit="1" customWidth="1"/>
    <col min="263" max="263" width="16.7109375" style="5" bestFit="1" customWidth="1"/>
    <col min="264" max="264" width="18" style="5" bestFit="1" customWidth="1"/>
    <col min="265" max="265" width="17.7109375" style="5" bestFit="1" customWidth="1"/>
    <col min="266" max="266" width="13.5703125" style="5" customWidth="1"/>
    <col min="267" max="267" width="18.5703125" style="5" bestFit="1" customWidth="1"/>
    <col min="268" max="269" width="12.28515625" style="5" bestFit="1" customWidth="1"/>
    <col min="270" max="512" width="11.42578125" style="5"/>
    <col min="513" max="513" width="2.5703125" style="5" customWidth="1"/>
    <col min="514" max="514" width="22.42578125" style="5" customWidth="1"/>
    <col min="515" max="515" width="12.140625" style="5" bestFit="1" customWidth="1"/>
    <col min="516" max="516" width="8.140625" style="5" customWidth="1"/>
    <col min="517" max="517" width="8.5703125" style="5" customWidth="1"/>
    <col min="518" max="518" width="17" style="5" bestFit="1" customWidth="1"/>
    <col min="519" max="519" width="16.7109375" style="5" bestFit="1" customWidth="1"/>
    <col min="520" max="520" width="18" style="5" bestFit="1" customWidth="1"/>
    <col min="521" max="521" width="17.7109375" style="5" bestFit="1" customWidth="1"/>
    <col min="522" max="522" width="13.5703125" style="5" customWidth="1"/>
    <col min="523" max="523" width="18.5703125" style="5" bestFit="1" customWidth="1"/>
    <col min="524" max="525" width="12.28515625" style="5" bestFit="1" customWidth="1"/>
    <col min="526" max="768" width="11.42578125" style="5"/>
    <col min="769" max="769" width="2.5703125" style="5" customWidth="1"/>
    <col min="770" max="770" width="22.42578125" style="5" customWidth="1"/>
    <col min="771" max="771" width="12.140625" style="5" bestFit="1" customWidth="1"/>
    <col min="772" max="772" width="8.140625" style="5" customWidth="1"/>
    <col min="773" max="773" width="8.5703125" style="5" customWidth="1"/>
    <col min="774" max="774" width="17" style="5" bestFit="1" customWidth="1"/>
    <col min="775" max="775" width="16.7109375" style="5" bestFit="1" customWidth="1"/>
    <col min="776" max="776" width="18" style="5" bestFit="1" customWidth="1"/>
    <col min="777" max="777" width="17.7109375" style="5" bestFit="1" customWidth="1"/>
    <col min="778" max="778" width="13.5703125" style="5" customWidth="1"/>
    <col min="779" max="779" width="18.5703125" style="5" bestFit="1" customWidth="1"/>
    <col min="780" max="781" width="12.28515625" style="5" bestFit="1" customWidth="1"/>
    <col min="782" max="1024" width="11.42578125" style="5"/>
    <col min="1025" max="1025" width="2.5703125" style="5" customWidth="1"/>
    <col min="1026" max="1026" width="22.42578125" style="5" customWidth="1"/>
    <col min="1027" max="1027" width="12.140625" style="5" bestFit="1" customWidth="1"/>
    <col min="1028" max="1028" width="8.140625" style="5" customWidth="1"/>
    <col min="1029" max="1029" width="8.5703125" style="5" customWidth="1"/>
    <col min="1030" max="1030" width="17" style="5" bestFit="1" customWidth="1"/>
    <col min="1031" max="1031" width="16.7109375" style="5" bestFit="1" customWidth="1"/>
    <col min="1032" max="1032" width="18" style="5" bestFit="1" customWidth="1"/>
    <col min="1033" max="1033" width="17.7109375" style="5" bestFit="1" customWidth="1"/>
    <col min="1034" max="1034" width="13.5703125" style="5" customWidth="1"/>
    <col min="1035" max="1035" width="18.5703125" style="5" bestFit="1" customWidth="1"/>
    <col min="1036" max="1037" width="12.28515625" style="5" bestFit="1" customWidth="1"/>
    <col min="1038" max="1280" width="11.42578125" style="5"/>
    <col min="1281" max="1281" width="2.5703125" style="5" customWidth="1"/>
    <col min="1282" max="1282" width="22.42578125" style="5" customWidth="1"/>
    <col min="1283" max="1283" width="12.140625" style="5" bestFit="1" customWidth="1"/>
    <col min="1284" max="1284" width="8.140625" style="5" customWidth="1"/>
    <col min="1285" max="1285" width="8.5703125" style="5" customWidth="1"/>
    <col min="1286" max="1286" width="17" style="5" bestFit="1" customWidth="1"/>
    <col min="1287" max="1287" width="16.7109375" style="5" bestFit="1" customWidth="1"/>
    <col min="1288" max="1288" width="18" style="5" bestFit="1" customWidth="1"/>
    <col min="1289" max="1289" width="17.7109375" style="5" bestFit="1" customWidth="1"/>
    <col min="1290" max="1290" width="13.5703125" style="5" customWidth="1"/>
    <col min="1291" max="1291" width="18.5703125" style="5" bestFit="1" customWidth="1"/>
    <col min="1292" max="1293" width="12.28515625" style="5" bestFit="1" customWidth="1"/>
    <col min="1294" max="1536" width="11.42578125" style="5"/>
    <col min="1537" max="1537" width="2.5703125" style="5" customWidth="1"/>
    <col min="1538" max="1538" width="22.42578125" style="5" customWidth="1"/>
    <col min="1539" max="1539" width="12.140625" style="5" bestFit="1" customWidth="1"/>
    <col min="1540" max="1540" width="8.140625" style="5" customWidth="1"/>
    <col min="1541" max="1541" width="8.5703125" style="5" customWidth="1"/>
    <col min="1542" max="1542" width="17" style="5" bestFit="1" customWidth="1"/>
    <col min="1543" max="1543" width="16.7109375" style="5" bestFit="1" customWidth="1"/>
    <col min="1544" max="1544" width="18" style="5" bestFit="1" customWidth="1"/>
    <col min="1545" max="1545" width="17.7109375" style="5" bestFit="1" customWidth="1"/>
    <col min="1546" max="1546" width="13.5703125" style="5" customWidth="1"/>
    <col min="1547" max="1547" width="18.5703125" style="5" bestFit="1" customWidth="1"/>
    <col min="1548" max="1549" width="12.28515625" style="5" bestFit="1" customWidth="1"/>
    <col min="1550" max="1792" width="11.42578125" style="5"/>
    <col min="1793" max="1793" width="2.5703125" style="5" customWidth="1"/>
    <col min="1794" max="1794" width="22.42578125" style="5" customWidth="1"/>
    <col min="1795" max="1795" width="12.140625" style="5" bestFit="1" customWidth="1"/>
    <col min="1796" max="1796" width="8.140625" style="5" customWidth="1"/>
    <col min="1797" max="1797" width="8.5703125" style="5" customWidth="1"/>
    <col min="1798" max="1798" width="17" style="5" bestFit="1" customWidth="1"/>
    <col min="1799" max="1799" width="16.7109375" style="5" bestFit="1" customWidth="1"/>
    <col min="1800" max="1800" width="18" style="5" bestFit="1" customWidth="1"/>
    <col min="1801" max="1801" width="17.7109375" style="5" bestFit="1" customWidth="1"/>
    <col min="1802" max="1802" width="13.5703125" style="5" customWidth="1"/>
    <col min="1803" max="1803" width="18.5703125" style="5" bestFit="1" customWidth="1"/>
    <col min="1804" max="1805" width="12.28515625" style="5" bestFit="1" customWidth="1"/>
    <col min="1806" max="2048" width="11.42578125" style="5"/>
    <col min="2049" max="2049" width="2.5703125" style="5" customWidth="1"/>
    <col min="2050" max="2050" width="22.42578125" style="5" customWidth="1"/>
    <col min="2051" max="2051" width="12.140625" style="5" bestFit="1" customWidth="1"/>
    <col min="2052" max="2052" width="8.140625" style="5" customWidth="1"/>
    <col min="2053" max="2053" width="8.5703125" style="5" customWidth="1"/>
    <col min="2054" max="2054" width="17" style="5" bestFit="1" customWidth="1"/>
    <col min="2055" max="2055" width="16.7109375" style="5" bestFit="1" customWidth="1"/>
    <col min="2056" max="2056" width="18" style="5" bestFit="1" customWidth="1"/>
    <col min="2057" max="2057" width="17.7109375" style="5" bestFit="1" customWidth="1"/>
    <col min="2058" max="2058" width="13.5703125" style="5" customWidth="1"/>
    <col min="2059" max="2059" width="18.5703125" style="5" bestFit="1" customWidth="1"/>
    <col min="2060" max="2061" width="12.28515625" style="5" bestFit="1" customWidth="1"/>
    <col min="2062" max="2304" width="11.42578125" style="5"/>
    <col min="2305" max="2305" width="2.5703125" style="5" customWidth="1"/>
    <col min="2306" max="2306" width="22.42578125" style="5" customWidth="1"/>
    <col min="2307" max="2307" width="12.140625" style="5" bestFit="1" customWidth="1"/>
    <col min="2308" max="2308" width="8.140625" style="5" customWidth="1"/>
    <col min="2309" max="2309" width="8.5703125" style="5" customWidth="1"/>
    <col min="2310" max="2310" width="17" style="5" bestFit="1" customWidth="1"/>
    <col min="2311" max="2311" width="16.7109375" style="5" bestFit="1" customWidth="1"/>
    <col min="2312" max="2312" width="18" style="5" bestFit="1" customWidth="1"/>
    <col min="2313" max="2313" width="17.7109375" style="5" bestFit="1" customWidth="1"/>
    <col min="2314" max="2314" width="13.5703125" style="5" customWidth="1"/>
    <col min="2315" max="2315" width="18.5703125" style="5" bestFit="1" customWidth="1"/>
    <col min="2316" max="2317" width="12.28515625" style="5" bestFit="1" customWidth="1"/>
    <col min="2318" max="2560" width="11.42578125" style="5"/>
    <col min="2561" max="2561" width="2.5703125" style="5" customWidth="1"/>
    <col min="2562" max="2562" width="22.42578125" style="5" customWidth="1"/>
    <col min="2563" max="2563" width="12.140625" style="5" bestFit="1" customWidth="1"/>
    <col min="2564" max="2564" width="8.140625" style="5" customWidth="1"/>
    <col min="2565" max="2565" width="8.5703125" style="5" customWidth="1"/>
    <col min="2566" max="2566" width="17" style="5" bestFit="1" customWidth="1"/>
    <col min="2567" max="2567" width="16.7109375" style="5" bestFit="1" customWidth="1"/>
    <col min="2568" max="2568" width="18" style="5" bestFit="1" customWidth="1"/>
    <col min="2569" max="2569" width="17.7109375" style="5" bestFit="1" customWidth="1"/>
    <col min="2570" max="2570" width="13.5703125" style="5" customWidth="1"/>
    <col min="2571" max="2571" width="18.5703125" style="5" bestFit="1" customWidth="1"/>
    <col min="2572" max="2573" width="12.28515625" style="5" bestFit="1" customWidth="1"/>
    <col min="2574" max="2816" width="11.42578125" style="5"/>
    <col min="2817" max="2817" width="2.5703125" style="5" customWidth="1"/>
    <col min="2818" max="2818" width="22.42578125" style="5" customWidth="1"/>
    <col min="2819" max="2819" width="12.140625" style="5" bestFit="1" customWidth="1"/>
    <col min="2820" max="2820" width="8.140625" style="5" customWidth="1"/>
    <col min="2821" max="2821" width="8.5703125" style="5" customWidth="1"/>
    <col min="2822" max="2822" width="17" style="5" bestFit="1" customWidth="1"/>
    <col min="2823" max="2823" width="16.7109375" style="5" bestFit="1" customWidth="1"/>
    <col min="2824" max="2824" width="18" style="5" bestFit="1" customWidth="1"/>
    <col min="2825" max="2825" width="17.7109375" style="5" bestFit="1" customWidth="1"/>
    <col min="2826" max="2826" width="13.5703125" style="5" customWidth="1"/>
    <col min="2827" max="2827" width="18.5703125" style="5" bestFit="1" customWidth="1"/>
    <col min="2828" max="2829" width="12.28515625" style="5" bestFit="1" customWidth="1"/>
    <col min="2830" max="3072" width="11.42578125" style="5"/>
    <col min="3073" max="3073" width="2.5703125" style="5" customWidth="1"/>
    <col min="3074" max="3074" width="22.42578125" style="5" customWidth="1"/>
    <col min="3075" max="3075" width="12.140625" style="5" bestFit="1" customWidth="1"/>
    <col min="3076" max="3076" width="8.140625" style="5" customWidth="1"/>
    <col min="3077" max="3077" width="8.5703125" style="5" customWidth="1"/>
    <col min="3078" max="3078" width="17" style="5" bestFit="1" customWidth="1"/>
    <col min="3079" max="3079" width="16.7109375" style="5" bestFit="1" customWidth="1"/>
    <col min="3080" max="3080" width="18" style="5" bestFit="1" customWidth="1"/>
    <col min="3081" max="3081" width="17.7109375" style="5" bestFit="1" customWidth="1"/>
    <col min="3082" max="3082" width="13.5703125" style="5" customWidth="1"/>
    <col min="3083" max="3083" width="18.5703125" style="5" bestFit="1" customWidth="1"/>
    <col min="3084" max="3085" width="12.28515625" style="5" bestFit="1" customWidth="1"/>
    <col min="3086" max="3328" width="11.42578125" style="5"/>
    <col min="3329" max="3329" width="2.5703125" style="5" customWidth="1"/>
    <col min="3330" max="3330" width="22.42578125" style="5" customWidth="1"/>
    <col min="3331" max="3331" width="12.140625" style="5" bestFit="1" customWidth="1"/>
    <col min="3332" max="3332" width="8.140625" style="5" customWidth="1"/>
    <col min="3333" max="3333" width="8.5703125" style="5" customWidth="1"/>
    <col min="3334" max="3334" width="17" style="5" bestFit="1" customWidth="1"/>
    <col min="3335" max="3335" width="16.7109375" style="5" bestFit="1" customWidth="1"/>
    <col min="3336" max="3336" width="18" style="5" bestFit="1" customWidth="1"/>
    <col min="3337" max="3337" width="17.7109375" style="5" bestFit="1" customWidth="1"/>
    <col min="3338" max="3338" width="13.5703125" style="5" customWidth="1"/>
    <col min="3339" max="3339" width="18.5703125" style="5" bestFit="1" customWidth="1"/>
    <col min="3340" max="3341" width="12.28515625" style="5" bestFit="1" customWidth="1"/>
    <col min="3342" max="3584" width="11.42578125" style="5"/>
    <col min="3585" max="3585" width="2.5703125" style="5" customWidth="1"/>
    <col min="3586" max="3586" width="22.42578125" style="5" customWidth="1"/>
    <col min="3587" max="3587" width="12.140625" style="5" bestFit="1" customWidth="1"/>
    <col min="3588" max="3588" width="8.140625" style="5" customWidth="1"/>
    <col min="3589" max="3589" width="8.5703125" style="5" customWidth="1"/>
    <col min="3590" max="3590" width="17" style="5" bestFit="1" customWidth="1"/>
    <col min="3591" max="3591" width="16.7109375" style="5" bestFit="1" customWidth="1"/>
    <col min="3592" max="3592" width="18" style="5" bestFit="1" customWidth="1"/>
    <col min="3593" max="3593" width="17.7109375" style="5" bestFit="1" customWidth="1"/>
    <col min="3594" max="3594" width="13.5703125" style="5" customWidth="1"/>
    <col min="3595" max="3595" width="18.5703125" style="5" bestFit="1" customWidth="1"/>
    <col min="3596" max="3597" width="12.28515625" style="5" bestFit="1" customWidth="1"/>
    <col min="3598" max="3840" width="11.42578125" style="5"/>
    <col min="3841" max="3841" width="2.5703125" style="5" customWidth="1"/>
    <col min="3842" max="3842" width="22.42578125" style="5" customWidth="1"/>
    <col min="3843" max="3843" width="12.140625" style="5" bestFit="1" customWidth="1"/>
    <col min="3844" max="3844" width="8.140625" style="5" customWidth="1"/>
    <col min="3845" max="3845" width="8.5703125" style="5" customWidth="1"/>
    <col min="3846" max="3846" width="17" style="5" bestFit="1" customWidth="1"/>
    <col min="3847" max="3847" width="16.7109375" style="5" bestFit="1" customWidth="1"/>
    <col min="3848" max="3848" width="18" style="5" bestFit="1" customWidth="1"/>
    <col min="3849" max="3849" width="17.7109375" style="5" bestFit="1" customWidth="1"/>
    <col min="3850" max="3850" width="13.5703125" style="5" customWidth="1"/>
    <col min="3851" max="3851" width="18.5703125" style="5" bestFit="1" customWidth="1"/>
    <col min="3852" max="3853" width="12.28515625" style="5" bestFit="1" customWidth="1"/>
    <col min="3854" max="4096" width="11.42578125" style="5"/>
    <col min="4097" max="4097" width="2.5703125" style="5" customWidth="1"/>
    <col min="4098" max="4098" width="22.42578125" style="5" customWidth="1"/>
    <col min="4099" max="4099" width="12.140625" style="5" bestFit="1" customWidth="1"/>
    <col min="4100" max="4100" width="8.140625" style="5" customWidth="1"/>
    <col min="4101" max="4101" width="8.5703125" style="5" customWidth="1"/>
    <col min="4102" max="4102" width="17" style="5" bestFit="1" customWidth="1"/>
    <col min="4103" max="4103" width="16.7109375" style="5" bestFit="1" customWidth="1"/>
    <col min="4104" max="4104" width="18" style="5" bestFit="1" customWidth="1"/>
    <col min="4105" max="4105" width="17.7109375" style="5" bestFit="1" customWidth="1"/>
    <col min="4106" max="4106" width="13.5703125" style="5" customWidth="1"/>
    <col min="4107" max="4107" width="18.5703125" style="5" bestFit="1" customWidth="1"/>
    <col min="4108" max="4109" width="12.28515625" style="5" bestFit="1" customWidth="1"/>
    <col min="4110" max="4352" width="11.42578125" style="5"/>
    <col min="4353" max="4353" width="2.5703125" style="5" customWidth="1"/>
    <col min="4354" max="4354" width="22.42578125" style="5" customWidth="1"/>
    <col min="4355" max="4355" width="12.140625" style="5" bestFit="1" customWidth="1"/>
    <col min="4356" max="4356" width="8.140625" style="5" customWidth="1"/>
    <col min="4357" max="4357" width="8.5703125" style="5" customWidth="1"/>
    <col min="4358" max="4358" width="17" style="5" bestFit="1" customWidth="1"/>
    <col min="4359" max="4359" width="16.7109375" style="5" bestFit="1" customWidth="1"/>
    <col min="4360" max="4360" width="18" style="5" bestFit="1" customWidth="1"/>
    <col min="4361" max="4361" width="17.7109375" style="5" bestFit="1" customWidth="1"/>
    <col min="4362" max="4362" width="13.5703125" style="5" customWidth="1"/>
    <col min="4363" max="4363" width="18.5703125" style="5" bestFit="1" customWidth="1"/>
    <col min="4364" max="4365" width="12.28515625" style="5" bestFit="1" customWidth="1"/>
    <col min="4366" max="4608" width="11.42578125" style="5"/>
    <col min="4609" max="4609" width="2.5703125" style="5" customWidth="1"/>
    <col min="4610" max="4610" width="22.42578125" style="5" customWidth="1"/>
    <col min="4611" max="4611" width="12.140625" style="5" bestFit="1" customWidth="1"/>
    <col min="4612" max="4612" width="8.140625" style="5" customWidth="1"/>
    <col min="4613" max="4613" width="8.5703125" style="5" customWidth="1"/>
    <col min="4614" max="4614" width="17" style="5" bestFit="1" customWidth="1"/>
    <col min="4615" max="4615" width="16.7109375" style="5" bestFit="1" customWidth="1"/>
    <col min="4616" max="4616" width="18" style="5" bestFit="1" customWidth="1"/>
    <col min="4617" max="4617" width="17.7109375" style="5" bestFit="1" customWidth="1"/>
    <col min="4618" max="4618" width="13.5703125" style="5" customWidth="1"/>
    <col min="4619" max="4619" width="18.5703125" style="5" bestFit="1" customWidth="1"/>
    <col min="4620" max="4621" width="12.28515625" style="5" bestFit="1" customWidth="1"/>
    <col min="4622" max="4864" width="11.42578125" style="5"/>
    <col min="4865" max="4865" width="2.5703125" style="5" customWidth="1"/>
    <col min="4866" max="4866" width="22.42578125" style="5" customWidth="1"/>
    <col min="4867" max="4867" width="12.140625" style="5" bestFit="1" customWidth="1"/>
    <col min="4868" max="4868" width="8.140625" style="5" customWidth="1"/>
    <col min="4869" max="4869" width="8.5703125" style="5" customWidth="1"/>
    <col min="4870" max="4870" width="17" style="5" bestFit="1" customWidth="1"/>
    <col min="4871" max="4871" width="16.7109375" style="5" bestFit="1" customWidth="1"/>
    <col min="4872" max="4872" width="18" style="5" bestFit="1" customWidth="1"/>
    <col min="4873" max="4873" width="17.7109375" style="5" bestFit="1" customWidth="1"/>
    <col min="4874" max="4874" width="13.5703125" style="5" customWidth="1"/>
    <col min="4875" max="4875" width="18.5703125" style="5" bestFit="1" customWidth="1"/>
    <col min="4876" max="4877" width="12.28515625" style="5" bestFit="1" customWidth="1"/>
    <col min="4878" max="5120" width="11.42578125" style="5"/>
    <col min="5121" max="5121" width="2.5703125" style="5" customWidth="1"/>
    <col min="5122" max="5122" width="22.42578125" style="5" customWidth="1"/>
    <col min="5123" max="5123" width="12.140625" style="5" bestFit="1" customWidth="1"/>
    <col min="5124" max="5124" width="8.140625" style="5" customWidth="1"/>
    <col min="5125" max="5125" width="8.5703125" style="5" customWidth="1"/>
    <col min="5126" max="5126" width="17" style="5" bestFit="1" customWidth="1"/>
    <col min="5127" max="5127" width="16.7109375" style="5" bestFit="1" customWidth="1"/>
    <col min="5128" max="5128" width="18" style="5" bestFit="1" customWidth="1"/>
    <col min="5129" max="5129" width="17.7109375" style="5" bestFit="1" customWidth="1"/>
    <col min="5130" max="5130" width="13.5703125" style="5" customWidth="1"/>
    <col min="5131" max="5131" width="18.5703125" style="5" bestFit="1" customWidth="1"/>
    <col min="5132" max="5133" width="12.28515625" style="5" bestFit="1" customWidth="1"/>
    <col min="5134" max="5376" width="11.42578125" style="5"/>
    <col min="5377" max="5377" width="2.5703125" style="5" customWidth="1"/>
    <col min="5378" max="5378" width="22.42578125" style="5" customWidth="1"/>
    <col min="5379" max="5379" width="12.140625" style="5" bestFit="1" customWidth="1"/>
    <col min="5380" max="5380" width="8.140625" style="5" customWidth="1"/>
    <col min="5381" max="5381" width="8.5703125" style="5" customWidth="1"/>
    <col min="5382" max="5382" width="17" style="5" bestFit="1" customWidth="1"/>
    <col min="5383" max="5383" width="16.7109375" style="5" bestFit="1" customWidth="1"/>
    <col min="5384" max="5384" width="18" style="5" bestFit="1" customWidth="1"/>
    <col min="5385" max="5385" width="17.7109375" style="5" bestFit="1" customWidth="1"/>
    <col min="5386" max="5386" width="13.5703125" style="5" customWidth="1"/>
    <col min="5387" max="5387" width="18.5703125" style="5" bestFit="1" customWidth="1"/>
    <col min="5388" max="5389" width="12.28515625" style="5" bestFit="1" customWidth="1"/>
    <col min="5390" max="5632" width="11.42578125" style="5"/>
    <col min="5633" max="5633" width="2.5703125" style="5" customWidth="1"/>
    <col min="5634" max="5634" width="22.42578125" style="5" customWidth="1"/>
    <col min="5635" max="5635" width="12.140625" style="5" bestFit="1" customWidth="1"/>
    <col min="5636" max="5636" width="8.140625" style="5" customWidth="1"/>
    <col min="5637" max="5637" width="8.5703125" style="5" customWidth="1"/>
    <col min="5638" max="5638" width="17" style="5" bestFit="1" customWidth="1"/>
    <col min="5639" max="5639" width="16.7109375" style="5" bestFit="1" customWidth="1"/>
    <col min="5640" max="5640" width="18" style="5" bestFit="1" customWidth="1"/>
    <col min="5641" max="5641" width="17.7109375" style="5" bestFit="1" customWidth="1"/>
    <col min="5642" max="5642" width="13.5703125" style="5" customWidth="1"/>
    <col min="5643" max="5643" width="18.5703125" style="5" bestFit="1" customWidth="1"/>
    <col min="5644" max="5645" width="12.28515625" style="5" bestFit="1" customWidth="1"/>
    <col min="5646" max="5888" width="11.42578125" style="5"/>
    <col min="5889" max="5889" width="2.5703125" style="5" customWidth="1"/>
    <col min="5890" max="5890" width="22.42578125" style="5" customWidth="1"/>
    <col min="5891" max="5891" width="12.140625" style="5" bestFit="1" customWidth="1"/>
    <col min="5892" max="5892" width="8.140625" style="5" customWidth="1"/>
    <col min="5893" max="5893" width="8.5703125" style="5" customWidth="1"/>
    <col min="5894" max="5894" width="17" style="5" bestFit="1" customWidth="1"/>
    <col min="5895" max="5895" width="16.7109375" style="5" bestFit="1" customWidth="1"/>
    <col min="5896" max="5896" width="18" style="5" bestFit="1" customWidth="1"/>
    <col min="5897" max="5897" width="17.7109375" style="5" bestFit="1" customWidth="1"/>
    <col min="5898" max="5898" width="13.5703125" style="5" customWidth="1"/>
    <col min="5899" max="5899" width="18.5703125" style="5" bestFit="1" customWidth="1"/>
    <col min="5900" max="5901" width="12.28515625" style="5" bestFit="1" customWidth="1"/>
    <col min="5902" max="6144" width="11.42578125" style="5"/>
    <col min="6145" max="6145" width="2.5703125" style="5" customWidth="1"/>
    <col min="6146" max="6146" width="22.42578125" style="5" customWidth="1"/>
    <col min="6147" max="6147" width="12.140625" style="5" bestFit="1" customWidth="1"/>
    <col min="6148" max="6148" width="8.140625" style="5" customWidth="1"/>
    <col min="6149" max="6149" width="8.5703125" style="5" customWidth="1"/>
    <col min="6150" max="6150" width="17" style="5" bestFit="1" customWidth="1"/>
    <col min="6151" max="6151" width="16.7109375" style="5" bestFit="1" customWidth="1"/>
    <col min="6152" max="6152" width="18" style="5" bestFit="1" customWidth="1"/>
    <col min="6153" max="6153" width="17.7109375" style="5" bestFit="1" customWidth="1"/>
    <col min="6154" max="6154" width="13.5703125" style="5" customWidth="1"/>
    <col min="6155" max="6155" width="18.5703125" style="5" bestFit="1" customWidth="1"/>
    <col min="6156" max="6157" width="12.28515625" style="5" bestFit="1" customWidth="1"/>
    <col min="6158" max="6400" width="11.42578125" style="5"/>
    <col min="6401" max="6401" width="2.5703125" style="5" customWidth="1"/>
    <col min="6402" max="6402" width="22.42578125" style="5" customWidth="1"/>
    <col min="6403" max="6403" width="12.140625" style="5" bestFit="1" customWidth="1"/>
    <col min="6404" max="6404" width="8.140625" style="5" customWidth="1"/>
    <col min="6405" max="6405" width="8.5703125" style="5" customWidth="1"/>
    <col min="6406" max="6406" width="17" style="5" bestFit="1" customWidth="1"/>
    <col min="6407" max="6407" width="16.7109375" style="5" bestFit="1" customWidth="1"/>
    <col min="6408" max="6408" width="18" style="5" bestFit="1" customWidth="1"/>
    <col min="6409" max="6409" width="17.7109375" style="5" bestFit="1" customWidth="1"/>
    <col min="6410" max="6410" width="13.5703125" style="5" customWidth="1"/>
    <col min="6411" max="6411" width="18.5703125" style="5" bestFit="1" customWidth="1"/>
    <col min="6412" max="6413" width="12.28515625" style="5" bestFit="1" customWidth="1"/>
    <col min="6414" max="6656" width="11.42578125" style="5"/>
    <col min="6657" max="6657" width="2.5703125" style="5" customWidth="1"/>
    <col min="6658" max="6658" width="22.42578125" style="5" customWidth="1"/>
    <col min="6659" max="6659" width="12.140625" style="5" bestFit="1" customWidth="1"/>
    <col min="6660" max="6660" width="8.140625" style="5" customWidth="1"/>
    <col min="6661" max="6661" width="8.5703125" style="5" customWidth="1"/>
    <col min="6662" max="6662" width="17" style="5" bestFit="1" customWidth="1"/>
    <col min="6663" max="6663" width="16.7109375" style="5" bestFit="1" customWidth="1"/>
    <col min="6664" max="6664" width="18" style="5" bestFit="1" customWidth="1"/>
    <col min="6665" max="6665" width="17.7109375" style="5" bestFit="1" customWidth="1"/>
    <col min="6666" max="6666" width="13.5703125" style="5" customWidth="1"/>
    <col min="6667" max="6667" width="18.5703125" style="5" bestFit="1" customWidth="1"/>
    <col min="6668" max="6669" width="12.28515625" style="5" bestFit="1" customWidth="1"/>
    <col min="6670" max="6912" width="11.42578125" style="5"/>
    <col min="6913" max="6913" width="2.5703125" style="5" customWidth="1"/>
    <col min="6914" max="6914" width="22.42578125" style="5" customWidth="1"/>
    <col min="6915" max="6915" width="12.140625" style="5" bestFit="1" customWidth="1"/>
    <col min="6916" max="6916" width="8.140625" style="5" customWidth="1"/>
    <col min="6917" max="6917" width="8.5703125" style="5" customWidth="1"/>
    <col min="6918" max="6918" width="17" style="5" bestFit="1" customWidth="1"/>
    <col min="6919" max="6919" width="16.7109375" style="5" bestFit="1" customWidth="1"/>
    <col min="6920" max="6920" width="18" style="5" bestFit="1" customWidth="1"/>
    <col min="6921" max="6921" width="17.7109375" style="5" bestFit="1" customWidth="1"/>
    <col min="6922" max="6922" width="13.5703125" style="5" customWidth="1"/>
    <col min="6923" max="6923" width="18.5703125" style="5" bestFit="1" customWidth="1"/>
    <col min="6924" max="6925" width="12.28515625" style="5" bestFit="1" customWidth="1"/>
    <col min="6926" max="7168" width="11.42578125" style="5"/>
    <col min="7169" max="7169" width="2.5703125" style="5" customWidth="1"/>
    <col min="7170" max="7170" width="22.42578125" style="5" customWidth="1"/>
    <col min="7171" max="7171" width="12.140625" style="5" bestFit="1" customWidth="1"/>
    <col min="7172" max="7172" width="8.140625" style="5" customWidth="1"/>
    <col min="7173" max="7173" width="8.5703125" style="5" customWidth="1"/>
    <col min="7174" max="7174" width="17" style="5" bestFit="1" customWidth="1"/>
    <col min="7175" max="7175" width="16.7109375" style="5" bestFit="1" customWidth="1"/>
    <col min="7176" max="7176" width="18" style="5" bestFit="1" customWidth="1"/>
    <col min="7177" max="7177" width="17.7109375" style="5" bestFit="1" customWidth="1"/>
    <col min="7178" max="7178" width="13.5703125" style="5" customWidth="1"/>
    <col min="7179" max="7179" width="18.5703125" style="5" bestFit="1" customWidth="1"/>
    <col min="7180" max="7181" width="12.28515625" style="5" bestFit="1" customWidth="1"/>
    <col min="7182" max="7424" width="11.42578125" style="5"/>
    <col min="7425" max="7425" width="2.5703125" style="5" customWidth="1"/>
    <col min="7426" max="7426" width="22.42578125" style="5" customWidth="1"/>
    <col min="7427" max="7427" width="12.140625" style="5" bestFit="1" customWidth="1"/>
    <col min="7428" max="7428" width="8.140625" style="5" customWidth="1"/>
    <col min="7429" max="7429" width="8.5703125" style="5" customWidth="1"/>
    <col min="7430" max="7430" width="17" style="5" bestFit="1" customWidth="1"/>
    <col min="7431" max="7431" width="16.7109375" style="5" bestFit="1" customWidth="1"/>
    <col min="7432" max="7432" width="18" style="5" bestFit="1" customWidth="1"/>
    <col min="7433" max="7433" width="17.7109375" style="5" bestFit="1" customWidth="1"/>
    <col min="7434" max="7434" width="13.5703125" style="5" customWidth="1"/>
    <col min="7435" max="7435" width="18.5703125" style="5" bestFit="1" customWidth="1"/>
    <col min="7436" max="7437" width="12.28515625" style="5" bestFit="1" customWidth="1"/>
    <col min="7438" max="7680" width="11.42578125" style="5"/>
    <col min="7681" max="7681" width="2.5703125" style="5" customWidth="1"/>
    <col min="7682" max="7682" width="22.42578125" style="5" customWidth="1"/>
    <col min="7683" max="7683" width="12.140625" style="5" bestFit="1" customWidth="1"/>
    <col min="7684" max="7684" width="8.140625" style="5" customWidth="1"/>
    <col min="7685" max="7685" width="8.5703125" style="5" customWidth="1"/>
    <col min="7686" max="7686" width="17" style="5" bestFit="1" customWidth="1"/>
    <col min="7687" max="7687" width="16.7109375" style="5" bestFit="1" customWidth="1"/>
    <col min="7688" max="7688" width="18" style="5" bestFit="1" customWidth="1"/>
    <col min="7689" max="7689" width="17.7109375" style="5" bestFit="1" customWidth="1"/>
    <col min="7690" max="7690" width="13.5703125" style="5" customWidth="1"/>
    <col min="7691" max="7691" width="18.5703125" style="5" bestFit="1" customWidth="1"/>
    <col min="7692" max="7693" width="12.28515625" style="5" bestFit="1" customWidth="1"/>
    <col min="7694" max="7936" width="11.42578125" style="5"/>
    <col min="7937" max="7937" width="2.5703125" style="5" customWidth="1"/>
    <col min="7938" max="7938" width="22.42578125" style="5" customWidth="1"/>
    <col min="7939" max="7939" width="12.140625" style="5" bestFit="1" customWidth="1"/>
    <col min="7940" max="7940" width="8.140625" style="5" customWidth="1"/>
    <col min="7941" max="7941" width="8.5703125" style="5" customWidth="1"/>
    <col min="7942" max="7942" width="17" style="5" bestFit="1" customWidth="1"/>
    <col min="7943" max="7943" width="16.7109375" style="5" bestFit="1" customWidth="1"/>
    <col min="7944" max="7944" width="18" style="5" bestFit="1" customWidth="1"/>
    <col min="7945" max="7945" width="17.7109375" style="5" bestFit="1" customWidth="1"/>
    <col min="7946" max="7946" width="13.5703125" style="5" customWidth="1"/>
    <col min="7947" max="7947" width="18.5703125" style="5" bestFit="1" customWidth="1"/>
    <col min="7948" max="7949" width="12.28515625" style="5" bestFit="1" customWidth="1"/>
    <col min="7950" max="8192" width="11.42578125" style="5"/>
    <col min="8193" max="8193" width="2.5703125" style="5" customWidth="1"/>
    <col min="8194" max="8194" width="22.42578125" style="5" customWidth="1"/>
    <col min="8195" max="8195" width="12.140625" style="5" bestFit="1" customWidth="1"/>
    <col min="8196" max="8196" width="8.140625" style="5" customWidth="1"/>
    <col min="8197" max="8197" width="8.5703125" style="5" customWidth="1"/>
    <col min="8198" max="8198" width="17" style="5" bestFit="1" customWidth="1"/>
    <col min="8199" max="8199" width="16.7109375" style="5" bestFit="1" customWidth="1"/>
    <col min="8200" max="8200" width="18" style="5" bestFit="1" customWidth="1"/>
    <col min="8201" max="8201" width="17.7109375" style="5" bestFit="1" customWidth="1"/>
    <col min="8202" max="8202" width="13.5703125" style="5" customWidth="1"/>
    <col min="8203" max="8203" width="18.5703125" style="5" bestFit="1" customWidth="1"/>
    <col min="8204" max="8205" width="12.28515625" style="5" bestFit="1" customWidth="1"/>
    <col min="8206" max="8448" width="11.42578125" style="5"/>
    <col min="8449" max="8449" width="2.5703125" style="5" customWidth="1"/>
    <col min="8450" max="8450" width="22.42578125" style="5" customWidth="1"/>
    <col min="8451" max="8451" width="12.140625" style="5" bestFit="1" customWidth="1"/>
    <col min="8452" max="8452" width="8.140625" style="5" customWidth="1"/>
    <col min="8453" max="8453" width="8.5703125" style="5" customWidth="1"/>
    <col min="8454" max="8454" width="17" style="5" bestFit="1" customWidth="1"/>
    <col min="8455" max="8455" width="16.7109375" style="5" bestFit="1" customWidth="1"/>
    <col min="8456" max="8456" width="18" style="5" bestFit="1" customWidth="1"/>
    <col min="8457" max="8457" width="17.7109375" style="5" bestFit="1" customWidth="1"/>
    <col min="8458" max="8458" width="13.5703125" style="5" customWidth="1"/>
    <col min="8459" max="8459" width="18.5703125" style="5" bestFit="1" customWidth="1"/>
    <col min="8460" max="8461" width="12.28515625" style="5" bestFit="1" customWidth="1"/>
    <col min="8462" max="8704" width="11.42578125" style="5"/>
    <col min="8705" max="8705" width="2.5703125" style="5" customWidth="1"/>
    <col min="8706" max="8706" width="22.42578125" style="5" customWidth="1"/>
    <col min="8707" max="8707" width="12.140625" style="5" bestFit="1" customWidth="1"/>
    <col min="8708" max="8708" width="8.140625" style="5" customWidth="1"/>
    <col min="8709" max="8709" width="8.5703125" style="5" customWidth="1"/>
    <col min="8710" max="8710" width="17" style="5" bestFit="1" customWidth="1"/>
    <col min="8711" max="8711" width="16.7109375" style="5" bestFit="1" customWidth="1"/>
    <col min="8712" max="8712" width="18" style="5" bestFit="1" customWidth="1"/>
    <col min="8713" max="8713" width="17.7109375" style="5" bestFit="1" customWidth="1"/>
    <col min="8714" max="8714" width="13.5703125" style="5" customWidth="1"/>
    <col min="8715" max="8715" width="18.5703125" style="5" bestFit="1" customWidth="1"/>
    <col min="8716" max="8717" width="12.28515625" style="5" bestFit="1" customWidth="1"/>
    <col min="8718" max="8960" width="11.42578125" style="5"/>
    <col min="8961" max="8961" width="2.5703125" style="5" customWidth="1"/>
    <col min="8962" max="8962" width="22.42578125" style="5" customWidth="1"/>
    <col min="8963" max="8963" width="12.140625" style="5" bestFit="1" customWidth="1"/>
    <col min="8964" max="8964" width="8.140625" style="5" customWidth="1"/>
    <col min="8965" max="8965" width="8.5703125" style="5" customWidth="1"/>
    <col min="8966" max="8966" width="17" style="5" bestFit="1" customWidth="1"/>
    <col min="8967" max="8967" width="16.7109375" style="5" bestFit="1" customWidth="1"/>
    <col min="8968" max="8968" width="18" style="5" bestFit="1" customWidth="1"/>
    <col min="8969" max="8969" width="17.7109375" style="5" bestFit="1" customWidth="1"/>
    <col min="8970" max="8970" width="13.5703125" style="5" customWidth="1"/>
    <col min="8971" max="8971" width="18.5703125" style="5" bestFit="1" customWidth="1"/>
    <col min="8972" max="8973" width="12.28515625" style="5" bestFit="1" customWidth="1"/>
    <col min="8974" max="9216" width="11.42578125" style="5"/>
    <col min="9217" max="9217" width="2.5703125" style="5" customWidth="1"/>
    <col min="9218" max="9218" width="22.42578125" style="5" customWidth="1"/>
    <col min="9219" max="9219" width="12.140625" style="5" bestFit="1" customWidth="1"/>
    <col min="9220" max="9220" width="8.140625" style="5" customWidth="1"/>
    <col min="9221" max="9221" width="8.5703125" style="5" customWidth="1"/>
    <col min="9222" max="9222" width="17" style="5" bestFit="1" customWidth="1"/>
    <col min="9223" max="9223" width="16.7109375" style="5" bestFit="1" customWidth="1"/>
    <col min="9224" max="9224" width="18" style="5" bestFit="1" customWidth="1"/>
    <col min="9225" max="9225" width="17.7109375" style="5" bestFit="1" customWidth="1"/>
    <col min="9226" max="9226" width="13.5703125" style="5" customWidth="1"/>
    <col min="9227" max="9227" width="18.5703125" style="5" bestFit="1" customWidth="1"/>
    <col min="9228" max="9229" width="12.28515625" style="5" bestFit="1" customWidth="1"/>
    <col min="9230" max="9472" width="11.42578125" style="5"/>
    <col min="9473" max="9473" width="2.5703125" style="5" customWidth="1"/>
    <col min="9474" max="9474" width="22.42578125" style="5" customWidth="1"/>
    <col min="9475" max="9475" width="12.140625" style="5" bestFit="1" customWidth="1"/>
    <col min="9476" max="9476" width="8.140625" style="5" customWidth="1"/>
    <col min="9477" max="9477" width="8.5703125" style="5" customWidth="1"/>
    <col min="9478" max="9478" width="17" style="5" bestFit="1" customWidth="1"/>
    <col min="9479" max="9479" width="16.7109375" style="5" bestFit="1" customWidth="1"/>
    <col min="9480" max="9480" width="18" style="5" bestFit="1" customWidth="1"/>
    <col min="9481" max="9481" width="17.7109375" style="5" bestFit="1" customWidth="1"/>
    <col min="9482" max="9482" width="13.5703125" style="5" customWidth="1"/>
    <col min="9483" max="9483" width="18.5703125" style="5" bestFit="1" customWidth="1"/>
    <col min="9484" max="9485" width="12.28515625" style="5" bestFit="1" customWidth="1"/>
    <col min="9486" max="9728" width="11.42578125" style="5"/>
    <col min="9729" max="9729" width="2.5703125" style="5" customWidth="1"/>
    <col min="9730" max="9730" width="22.42578125" style="5" customWidth="1"/>
    <col min="9731" max="9731" width="12.140625" style="5" bestFit="1" customWidth="1"/>
    <col min="9732" max="9732" width="8.140625" style="5" customWidth="1"/>
    <col min="9733" max="9733" width="8.5703125" style="5" customWidth="1"/>
    <col min="9734" max="9734" width="17" style="5" bestFit="1" customWidth="1"/>
    <col min="9735" max="9735" width="16.7109375" style="5" bestFit="1" customWidth="1"/>
    <col min="9736" max="9736" width="18" style="5" bestFit="1" customWidth="1"/>
    <col min="9737" max="9737" width="17.7109375" style="5" bestFit="1" customWidth="1"/>
    <col min="9738" max="9738" width="13.5703125" style="5" customWidth="1"/>
    <col min="9739" max="9739" width="18.5703125" style="5" bestFit="1" customWidth="1"/>
    <col min="9740" max="9741" width="12.28515625" style="5" bestFit="1" customWidth="1"/>
    <col min="9742" max="9984" width="11.42578125" style="5"/>
    <col min="9985" max="9985" width="2.5703125" style="5" customWidth="1"/>
    <col min="9986" max="9986" width="22.42578125" style="5" customWidth="1"/>
    <col min="9987" max="9987" width="12.140625" style="5" bestFit="1" customWidth="1"/>
    <col min="9988" max="9988" width="8.140625" style="5" customWidth="1"/>
    <col min="9989" max="9989" width="8.5703125" style="5" customWidth="1"/>
    <col min="9990" max="9990" width="17" style="5" bestFit="1" customWidth="1"/>
    <col min="9991" max="9991" width="16.7109375" style="5" bestFit="1" customWidth="1"/>
    <col min="9992" max="9992" width="18" style="5" bestFit="1" customWidth="1"/>
    <col min="9993" max="9993" width="17.7109375" style="5" bestFit="1" customWidth="1"/>
    <col min="9994" max="9994" width="13.5703125" style="5" customWidth="1"/>
    <col min="9995" max="9995" width="18.5703125" style="5" bestFit="1" customWidth="1"/>
    <col min="9996" max="9997" width="12.28515625" style="5" bestFit="1" customWidth="1"/>
    <col min="9998" max="10240" width="11.42578125" style="5"/>
    <col min="10241" max="10241" width="2.5703125" style="5" customWidth="1"/>
    <col min="10242" max="10242" width="22.42578125" style="5" customWidth="1"/>
    <col min="10243" max="10243" width="12.140625" style="5" bestFit="1" customWidth="1"/>
    <col min="10244" max="10244" width="8.140625" style="5" customWidth="1"/>
    <col min="10245" max="10245" width="8.5703125" style="5" customWidth="1"/>
    <col min="10246" max="10246" width="17" style="5" bestFit="1" customWidth="1"/>
    <col min="10247" max="10247" width="16.7109375" style="5" bestFit="1" customWidth="1"/>
    <col min="10248" max="10248" width="18" style="5" bestFit="1" customWidth="1"/>
    <col min="10249" max="10249" width="17.7109375" style="5" bestFit="1" customWidth="1"/>
    <col min="10250" max="10250" width="13.5703125" style="5" customWidth="1"/>
    <col min="10251" max="10251" width="18.5703125" style="5" bestFit="1" customWidth="1"/>
    <col min="10252" max="10253" width="12.28515625" style="5" bestFit="1" customWidth="1"/>
    <col min="10254" max="10496" width="11.42578125" style="5"/>
    <col min="10497" max="10497" width="2.5703125" style="5" customWidth="1"/>
    <col min="10498" max="10498" width="22.42578125" style="5" customWidth="1"/>
    <col min="10499" max="10499" width="12.140625" style="5" bestFit="1" customWidth="1"/>
    <col min="10500" max="10500" width="8.140625" style="5" customWidth="1"/>
    <col min="10501" max="10501" width="8.5703125" style="5" customWidth="1"/>
    <col min="10502" max="10502" width="17" style="5" bestFit="1" customWidth="1"/>
    <col min="10503" max="10503" width="16.7109375" style="5" bestFit="1" customWidth="1"/>
    <col min="10504" max="10504" width="18" style="5" bestFit="1" customWidth="1"/>
    <col min="10505" max="10505" width="17.7109375" style="5" bestFit="1" customWidth="1"/>
    <col min="10506" max="10506" width="13.5703125" style="5" customWidth="1"/>
    <col min="10507" max="10507" width="18.5703125" style="5" bestFit="1" customWidth="1"/>
    <col min="10508" max="10509" width="12.28515625" style="5" bestFit="1" customWidth="1"/>
    <col min="10510" max="10752" width="11.42578125" style="5"/>
    <col min="10753" max="10753" width="2.5703125" style="5" customWidth="1"/>
    <col min="10754" max="10754" width="22.42578125" style="5" customWidth="1"/>
    <col min="10755" max="10755" width="12.140625" style="5" bestFit="1" customWidth="1"/>
    <col min="10756" max="10756" width="8.140625" style="5" customWidth="1"/>
    <col min="10757" max="10757" width="8.5703125" style="5" customWidth="1"/>
    <col min="10758" max="10758" width="17" style="5" bestFit="1" customWidth="1"/>
    <col min="10759" max="10759" width="16.7109375" style="5" bestFit="1" customWidth="1"/>
    <col min="10760" max="10760" width="18" style="5" bestFit="1" customWidth="1"/>
    <col min="10761" max="10761" width="17.7109375" style="5" bestFit="1" customWidth="1"/>
    <col min="10762" max="10762" width="13.5703125" style="5" customWidth="1"/>
    <col min="10763" max="10763" width="18.5703125" style="5" bestFit="1" customWidth="1"/>
    <col min="10764" max="10765" width="12.28515625" style="5" bestFit="1" customWidth="1"/>
    <col min="10766" max="11008" width="11.42578125" style="5"/>
    <col min="11009" max="11009" width="2.5703125" style="5" customWidth="1"/>
    <col min="11010" max="11010" width="22.42578125" style="5" customWidth="1"/>
    <col min="11011" max="11011" width="12.140625" style="5" bestFit="1" customWidth="1"/>
    <col min="11012" max="11012" width="8.140625" style="5" customWidth="1"/>
    <col min="11013" max="11013" width="8.5703125" style="5" customWidth="1"/>
    <col min="11014" max="11014" width="17" style="5" bestFit="1" customWidth="1"/>
    <col min="11015" max="11015" width="16.7109375" style="5" bestFit="1" customWidth="1"/>
    <col min="11016" max="11016" width="18" style="5" bestFit="1" customWidth="1"/>
    <col min="11017" max="11017" width="17.7109375" style="5" bestFit="1" customWidth="1"/>
    <col min="11018" max="11018" width="13.5703125" style="5" customWidth="1"/>
    <col min="11019" max="11019" width="18.5703125" style="5" bestFit="1" customWidth="1"/>
    <col min="11020" max="11021" width="12.28515625" style="5" bestFit="1" customWidth="1"/>
    <col min="11022" max="11264" width="11.42578125" style="5"/>
    <col min="11265" max="11265" width="2.5703125" style="5" customWidth="1"/>
    <col min="11266" max="11266" width="22.42578125" style="5" customWidth="1"/>
    <col min="11267" max="11267" width="12.140625" style="5" bestFit="1" customWidth="1"/>
    <col min="11268" max="11268" width="8.140625" style="5" customWidth="1"/>
    <col min="11269" max="11269" width="8.5703125" style="5" customWidth="1"/>
    <col min="11270" max="11270" width="17" style="5" bestFit="1" customWidth="1"/>
    <col min="11271" max="11271" width="16.7109375" style="5" bestFit="1" customWidth="1"/>
    <col min="11272" max="11272" width="18" style="5" bestFit="1" customWidth="1"/>
    <col min="11273" max="11273" width="17.7109375" style="5" bestFit="1" customWidth="1"/>
    <col min="11274" max="11274" width="13.5703125" style="5" customWidth="1"/>
    <col min="11275" max="11275" width="18.5703125" style="5" bestFit="1" customWidth="1"/>
    <col min="11276" max="11277" width="12.28515625" style="5" bestFit="1" customWidth="1"/>
    <col min="11278" max="11520" width="11.42578125" style="5"/>
    <col min="11521" max="11521" width="2.5703125" style="5" customWidth="1"/>
    <col min="11522" max="11522" width="22.42578125" style="5" customWidth="1"/>
    <col min="11523" max="11523" width="12.140625" style="5" bestFit="1" customWidth="1"/>
    <col min="11524" max="11524" width="8.140625" style="5" customWidth="1"/>
    <col min="11525" max="11525" width="8.5703125" style="5" customWidth="1"/>
    <col min="11526" max="11526" width="17" style="5" bestFit="1" customWidth="1"/>
    <col min="11527" max="11527" width="16.7109375" style="5" bestFit="1" customWidth="1"/>
    <col min="11528" max="11528" width="18" style="5" bestFit="1" customWidth="1"/>
    <col min="11529" max="11529" width="17.7109375" style="5" bestFit="1" customWidth="1"/>
    <col min="11530" max="11530" width="13.5703125" style="5" customWidth="1"/>
    <col min="11531" max="11531" width="18.5703125" style="5" bestFit="1" customWidth="1"/>
    <col min="11532" max="11533" width="12.28515625" style="5" bestFit="1" customWidth="1"/>
    <col min="11534" max="11776" width="11.42578125" style="5"/>
    <col min="11777" max="11777" width="2.5703125" style="5" customWidth="1"/>
    <col min="11778" max="11778" width="22.42578125" style="5" customWidth="1"/>
    <col min="11779" max="11779" width="12.140625" style="5" bestFit="1" customWidth="1"/>
    <col min="11780" max="11780" width="8.140625" style="5" customWidth="1"/>
    <col min="11781" max="11781" width="8.5703125" style="5" customWidth="1"/>
    <col min="11782" max="11782" width="17" style="5" bestFit="1" customWidth="1"/>
    <col min="11783" max="11783" width="16.7109375" style="5" bestFit="1" customWidth="1"/>
    <col min="11784" max="11784" width="18" style="5" bestFit="1" customWidth="1"/>
    <col min="11785" max="11785" width="17.7109375" style="5" bestFit="1" customWidth="1"/>
    <col min="11786" max="11786" width="13.5703125" style="5" customWidth="1"/>
    <col min="11787" max="11787" width="18.5703125" style="5" bestFit="1" customWidth="1"/>
    <col min="11788" max="11789" width="12.28515625" style="5" bestFit="1" customWidth="1"/>
    <col min="11790" max="12032" width="11.42578125" style="5"/>
    <col min="12033" max="12033" width="2.5703125" style="5" customWidth="1"/>
    <col min="12034" max="12034" width="22.42578125" style="5" customWidth="1"/>
    <col min="12035" max="12035" width="12.140625" style="5" bestFit="1" customWidth="1"/>
    <col min="12036" max="12036" width="8.140625" style="5" customWidth="1"/>
    <col min="12037" max="12037" width="8.5703125" style="5" customWidth="1"/>
    <col min="12038" max="12038" width="17" style="5" bestFit="1" customWidth="1"/>
    <col min="12039" max="12039" width="16.7109375" style="5" bestFit="1" customWidth="1"/>
    <col min="12040" max="12040" width="18" style="5" bestFit="1" customWidth="1"/>
    <col min="12041" max="12041" width="17.7109375" style="5" bestFit="1" customWidth="1"/>
    <col min="12042" max="12042" width="13.5703125" style="5" customWidth="1"/>
    <col min="12043" max="12043" width="18.5703125" style="5" bestFit="1" customWidth="1"/>
    <col min="12044" max="12045" width="12.28515625" style="5" bestFit="1" customWidth="1"/>
    <col min="12046" max="12288" width="11.42578125" style="5"/>
    <col min="12289" max="12289" width="2.5703125" style="5" customWidth="1"/>
    <col min="12290" max="12290" width="22.42578125" style="5" customWidth="1"/>
    <col min="12291" max="12291" width="12.140625" style="5" bestFit="1" customWidth="1"/>
    <col min="12292" max="12292" width="8.140625" style="5" customWidth="1"/>
    <col min="12293" max="12293" width="8.5703125" style="5" customWidth="1"/>
    <col min="12294" max="12294" width="17" style="5" bestFit="1" customWidth="1"/>
    <col min="12295" max="12295" width="16.7109375" style="5" bestFit="1" customWidth="1"/>
    <col min="12296" max="12296" width="18" style="5" bestFit="1" customWidth="1"/>
    <col min="12297" max="12297" width="17.7109375" style="5" bestFit="1" customWidth="1"/>
    <col min="12298" max="12298" width="13.5703125" style="5" customWidth="1"/>
    <col min="12299" max="12299" width="18.5703125" style="5" bestFit="1" customWidth="1"/>
    <col min="12300" max="12301" width="12.28515625" style="5" bestFit="1" customWidth="1"/>
    <col min="12302" max="12544" width="11.42578125" style="5"/>
    <col min="12545" max="12545" width="2.5703125" style="5" customWidth="1"/>
    <col min="12546" max="12546" width="22.42578125" style="5" customWidth="1"/>
    <col min="12547" max="12547" width="12.140625" style="5" bestFit="1" customWidth="1"/>
    <col min="12548" max="12548" width="8.140625" style="5" customWidth="1"/>
    <col min="12549" max="12549" width="8.5703125" style="5" customWidth="1"/>
    <col min="12550" max="12550" width="17" style="5" bestFit="1" customWidth="1"/>
    <col min="12551" max="12551" width="16.7109375" style="5" bestFit="1" customWidth="1"/>
    <col min="12552" max="12552" width="18" style="5" bestFit="1" customWidth="1"/>
    <col min="12553" max="12553" width="17.7109375" style="5" bestFit="1" customWidth="1"/>
    <col min="12554" max="12554" width="13.5703125" style="5" customWidth="1"/>
    <col min="12555" max="12555" width="18.5703125" style="5" bestFit="1" customWidth="1"/>
    <col min="12556" max="12557" width="12.28515625" style="5" bestFit="1" customWidth="1"/>
    <col min="12558" max="12800" width="11.42578125" style="5"/>
    <col min="12801" max="12801" width="2.5703125" style="5" customWidth="1"/>
    <col min="12802" max="12802" width="22.42578125" style="5" customWidth="1"/>
    <col min="12803" max="12803" width="12.140625" style="5" bestFit="1" customWidth="1"/>
    <col min="12804" max="12804" width="8.140625" style="5" customWidth="1"/>
    <col min="12805" max="12805" width="8.5703125" style="5" customWidth="1"/>
    <col min="12806" max="12806" width="17" style="5" bestFit="1" customWidth="1"/>
    <col min="12807" max="12807" width="16.7109375" style="5" bestFit="1" customWidth="1"/>
    <col min="12808" max="12808" width="18" style="5" bestFit="1" customWidth="1"/>
    <col min="12809" max="12809" width="17.7109375" style="5" bestFit="1" customWidth="1"/>
    <col min="12810" max="12810" width="13.5703125" style="5" customWidth="1"/>
    <col min="12811" max="12811" width="18.5703125" style="5" bestFit="1" customWidth="1"/>
    <col min="12812" max="12813" width="12.28515625" style="5" bestFit="1" customWidth="1"/>
    <col min="12814" max="13056" width="11.42578125" style="5"/>
    <col min="13057" max="13057" width="2.5703125" style="5" customWidth="1"/>
    <col min="13058" max="13058" width="22.42578125" style="5" customWidth="1"/>
    <col min="13059" max="13059" width="12.140625" style="5" bestFit="1" customWidth="1"/>
    <col min="13060" max="13060" width="8.140625" style="5" customWidth="1"/>
    <col min="13061" max="13061" width="8.5703125" style="5" customWidth="1"/>
    <col min="13062" max="13062" width="17" style="5" bestFit="1" customWidth="1"/>
    <col min="13063" max="13063" width="16.7109375" style="5" bestFit="1" customWidth="1"/>
    <col min="13064" max="13064" width="18" style="5" bestFit="1" customWidth="1"/>
    <col min="13065" max="13065" width="17.7109375" style="5" bestFit="1" customWidth="1"/>
    <col min="13066" max="13066" width="13.5703125" style="5" customWidth="1"/>
    <col min="13067" max="13067" width="18.5703125" style="5" bestFit="1" customWidth="1"/>
    <col min="13068" max="13069" width="12.28515625" style="5" bestFit="1" customWidth="1"/>
    <col min="13070" max="13312" width="11.42578125" style="5"/>
    <col min="13313" max="13313" width="2.5703125" style="5" customWidth="1"/>
    <col min="13314" max="13314" width="22.42578125" style="5" customWidth="1"/>
    <col min="13315" max="13315" width="12.140625" style="5" bestFit="1" customWidth="1"/>
    <col min="13316" max="13316" width="8.140625" style="5" customWidth="1"/>
    <col min="13317" max="13317" width="8.5703125" style="5" customWidth="1"/>
    <col min="13318" max="13318" width="17" style="5" bestFit="1" customWidth="1"/>
    <col min="13319" max="13319" width="16.7109375" style="5" bestFit="1" customWidth="1"/>
    <col min="13320" max="13320" width="18" style="5" bestFit="1" customWidth="1"/>
    <col min="13321" max="13321" width="17.7109375" style="5" bestFit="1" customWidth="1"/>
    <col min="13322" max="13322" width="13.5703125" style="5" customWidth="1"/>
    <col min="13323" max="13323" width="18.5703125" style="5" bestFit="1" customWidth="1"/>
    <col min="13324" max="13325" width="12.28515625" style="5" bestFit="1" customWidth="1"/>
    <col min="13326" max="13568" width="11.42578125" style="5"/>
    <col min="13569" max="13569" width="2.5703125" style="5" customWidth="1"/>
    <col min="13570" max="13570" width="22.42578125" style="5" customWidth="1"/>
    <col min="13571" max="13571" width="12.140625" style="5" bestFit="1" customWidth="1"/>
    <col min="13572" max="13572" width="8.140625" style="5" customWidth="1"/>
    <col min="13573" max="13573" width="8.5703125" style="5" customWidth="1"/>
    <col min="13574" max="13574" width="17" style="5" bestFit="1" customWidth="1"/>
    <col min="13575" max="13575" width="16.7109375" style="5" bestFit="1" customWidth="1"/>
    <col min="13576" max="13576" width="18" style="5" bestFit="1" customWidth="1"/>
    <col min="13577" max="13577" width="17.7109375" style="5" bestFit="1" customWidth="1"/>
    <col min="13578" max="13578" width="13.5703125" style="5" customWidth="1"/>
    <col min="13579" max="13579" width="18.5703125" style="5" bestFit="1" customWidth="1"/>
    <col min="13580" max="13581" width="12.28515625" style="5" bestFit="1" customWidth="1"/>
    <col min="13582" max="13824" width="11.42578125" style="5"/>
    <col min="13825" max="13825" width="2.5703125" style="5" customWidth="1"/>
    <col min="13826" max="13826" width="22.42578125" style="5" customWidth="1"/>
    <col min="13827" max="13827" width="12.140625" style="5" bestFit="1" customWidth="1"/>
    <col min="13828" max="13828" width="8.140625" style="5" customWidth="1"/>
    <col min="13829" max="13829" width="8.5703125" style="5" customWidth="1"/>
    <col min="13830" max="13830" width="17" style="5" bestFit="1" customWidth="1"/>
    <col min="13831" max="13831" width="16.7109375" style="5" bestFit="1" customWidth="1"/>
    <col min="13832" max="13832" width="18" style="5" bestFit="1" customWidth="1"/>
    <col min="13833" max="13833" width="17.7109375" style="5" bestFit="1" customWidth="1"/>
    <col min="13834" max="13834" width="13.5703125" style="5" customWidth="1"/>
    <col min="13835" max="13835" width="18.5703125" style="5" bestFit="1" customWidth="1"/>
    <col min="13836" max="13837" width="12.28515625" style="5" bestFit="1" customWidth="1"/>
    <col min="13838" max="14080" width="11.42578125" style="5"/>
    <col min="14081" max="14081" width="2.5703125" style="5" customWidth="1"/>
    <col min="14082" max="14082" width="22.42578125" style="5" customWidth="1"/>
    <col min="14083" max="14083" width="12.140625" style="5" bestFit="1" customWidth="1"/>
    <col min="14084" max="14084" width="8.140625" style="5" customWidth="1"/>
    <col min="14085" max="14085" width="8.5703125" style="5" customWidth="1"/>
    <col min="14086" max="14086" width="17" style="5" bestFit="1" customWidth="1"/>
    <col min="14087" max="14087" width="16.7109375" style="5" bestFit="1" customWidth="1"/>
    <col min="14088" max="14088" width="18" style="5" bestFit="1" customWidth="1"/>
    <col min="14089" max="14089" width="17.7109375" style="5" bestFit="1" customWidth="1"/>
    <col min="14090" max="14090" width="13.5703125" style="5" customWidth="1"/>
    <col min="14091" max="14091" width="18.5703125" style="5" bestFit="1" customWidth="1"/>
    <col min="14092" max="14093" width="12.28515625" style="5" bestFit="1" customWidth="1"/>
    <col min="14094" max="14336" width="11.42578125" style="5"/>
    <col min="14337" max="14337" width="2.5703125" style="5" customWidth="1"/>
    <col min="14338" max="14338" width="22.42578125" style="5" customWidth="1"/>
    <col min="14339" max="14339" width="12.140625" style="5" bestFit="1" customWidth="1"/>
    <col min="14340" max="14340" width="8.140625" style="5" customWidth="1"/>
    <col min="14341" max="14341" width="8.5703125" style="5" customWidth="1"/>
    <col min="14342" max="14342" width="17" style="5" bestFit="1" customWidth="1"/>
    <col min="14343" max="14343" width="16.7109375" style="5" bestFit="1" customWidth="1"/>
    <col min="14344" max="14344" width="18" style="5" bestFit="1" customWidth="1"/>
    <col min="14345" max="14345" width="17.7109375" style="5" bestFit="1" customWidth="1"/>
    <col min="14346" max="14346" width="13.5703125" style="5" customWidth="1"/>
    <col min="14347" max="14347" width="18.5703125" style="5" bestFit="1" customWidth="1"/>
    <col min="14348" max="14349" width="12.28515625" style="5" bestFit="1" customWidth="1"/>
    <col min="14350" max="14592" width="11.42578125" style="5"/>
    <col min="14593" max="14593" width="2.5703125" style="5" customWidth="1"/>
    <col min="14594" max="14594" width="22.42578125" style="5" customWidth="1"/>
    <col min="14595" max="14595" width="12.140625" style="5" bestFit="1" customWidth="1"/>
    <col min="14596" max="14596" width="8.140625" style="5" customWidth="1"/>
    <col min="14597" max="14597" width="8.5703125" style="5" customWidth="1"/>
    <col min="14598" max="14598" width="17" style="5" bestFit="1" customWidth="1"/>
    <col min="14599" max="14599" width="16.7109375" style="5" bestFit="1" customWidth="1"/>
    <col min="14600" max="14600" width="18" style="5" bestFit="1" customWidth="1"/>
    <col min="14601" max="14601" width="17.7109375" style="5" bestFit="1" customWidth="1"/>
    <col min="14602" max="14602" width="13.5703125" style="5" customWidth="1"/>
    <col min="14603" max="14603" width="18.5703125" style="5" bestFit="1" customWidth="1"/>
    <col min="14604" max="14605" width="12.28515625" style="5" bestFit="1" customWidth="1"/>
    <col min="14606" max="14848" width="11.42578125" style="5"/>
    <col min="14849" max="14849" width="2.5703125" style="5" customWidth="1"/>
    <col min="14850" max="14850" width="22.42578125" style="5" customWidth="1"/>
    <col min="14851" max="14851" width="12.140625" style="5" bestFit="1" customWidth="1"/>
    <col min="14852" max="14852" width="8.140625" style="5" customWidth="1"/>
    <col min="14853" max="14853" width="8.5703125" style="5" customWidth="1"/>
    <col min="14854" max="14854" width="17" style="5" bestFit="1" customWidth="1"/>
    <col min="14855" max="14855" width="16.7109375" style="5" bestFit="1" customWidth="1"/>
    <col min="14856" max="14856" width="18" style="5" bestFit="1" customWidth="1"/>
    <col min="14857" max="14857" width="17.7109375" style="5" bestFit="1" customWidth="1"/>
    <col min="14858" max="14858" width="13.5703125" style="5" customWidth="1"/>
    <col min="14859" max="14859" width="18.5703125" style="5" bestFit="1" customWidth="1"/>
    <col min="14860" max="14861" width="12.28515625" style="5" bestFit="1" customWidth="1"/>
    <col min="14862" max="15104" width="11.42578125" style="5"/>
    <col min="15105" max="15105" width="2.5703125" style="5" customWidth="1"/>
    <col min="15106" max="15106" width="22.42578125" style="5" customWidth="1"/>
    <col min="15107" max="15107" width="12.140625" style="5" bestFit="1" customWidth="1"/>
    <col min="15108" max="15108" width="8.140625" style="5" customWidth="1"/>
    <col min="15109" max="15109" width="8.5703125" style="5" customWidth="1"/>
    <col min="15110" max="15110" width="17" style="5" bestFit="1" customWidth="1"/>
    <col min="15111" max="15111" width="16.7109375" style="5" bestFit="1" customWidth="1"/>
    <col min="15112" max="15112" width="18" style="5" bestFit="1" customWidth="1"/>
    <col min="15113" max="15113" width="17.7109375" style="5" bestFit="1" customWidth="1"/>
    <col min="15114" max="15114" width="13.5703125" style="5" customWidth="1"/>
    <col min="15115" max="15115" width="18.5703125" style="5" bestFit="1" customWidth="1"/>
    <col min="15116" max="15117" width="12.28515625" style="5" bestFit="1" customWidth="1"/>
    <col min="15118" max="15360" width="11.42578125" style="5"/>
    <col min="15361" max="15361" width="2.5703125" style="5" customWidth="1"/>
    <col min="15362" max="15362" width="22.42578125" style="5" customWidth="1"/>
    <col min="15363" max="15363" width="12.140625" style="5" bestFit="1" customWidth="1"/>
    <col min="15364" max="15364" width="8.140625" style="5" customWidth="1"/>
    <col min="15365" max="15365" width="8.5703125" style="5" customWidth="1"/>
    <col min="15366" max="15366" width="17" style="5" bestFit="1" customWidth="1"/>
    <col min="15367" max="15367" width="16.7109375" style="5" bestFit="1" customWidth="1"/>
    <col min="15368" max="15368" width="18" style="5" bestFit="1" customWidth="1"/>
    <col min="15369" max="15369" width="17.7109375" style="5" bestFit="1" customWidth="1"/>
    <col min="15370" max="15370" width="13.5703125" style="5" customWidth="1"/>
    <col min="15371" max="15371" width="18.5703125" style="5" bestFit="1" customWidth="1"/>
    <col min="15372" max="15373" width="12.28515625" style="5" bestFit="1" customWidth="1"/>
    <col min="15374" max="15616" width="11.42578125" style="5"/>
    <col min="15617" max="15617" width="2.5703125" style="5" customWidth="1"/>
    <col min="15618" max="15618" width="22.42578125" style="5" customWidth="1"/>
    <col min="15619" max="15619" width="12.140625" style="5" bestFit="1" customWidth="1"/>
    <col min="15620" max="15620" width="8.140625" style="5" customWidth="1"/>
    <col min="15621" max="15621" width="8.5703125" style="5" customWidth="1"/>
    <col min="15622" max="15622" width="17" style="5" bestFit="1" customWidth="1"/>
    <col min="15623" max="15623" width="16.7109375" style="5" bestFit="1" customWidth="1"/>
    <col min="15624" max="15624" width="18" style="5" bestFit="1" customWidth="1"/>
    <col min="15625" max="15625" width="17.7109375" style="5" bestFit="1" customWidth="1"/>
    <col min="15626" max="15626" width="13.5703125" style="5" customWidth="1"/>
    <col min="15627" max="15627" width="18.5703125" style="5" bestFit="1" customWidth="1"/>
    <col min="15628" max="15629" width="12.28515625" style="5" bestFit="1" customWidth="1"/>
    <col min="15630" max="15872" width="11.42578125" style="5"/>
    <col min="15873" max="15873" width="2.5703125" style="5" customWidth="1"/>
    <col min="15874" max="15874" width="22.42578125" style="5" customWidth="1"/>
    <col min="15875" max="15875" width="12.140625" style="5" bestFit="1" customWidth="1"/>
    <col min="15876" max="15876" width="8.140625" style="5" customWidth="1"/>
    <col min="15877" max="15877" width="8.5703125" style="5" customWidth="1"/>
    <col min="15878" max="15878" width="17" style="5" bestFit="1" customWidth="1"/>
    <col min="15879" max="15879" width="16.7109375" style="5" bestFit="1" customWidth="1"/>
    <col min="15880" max="15880" width="18" style="5" bestFit="1" customWidth="1"/>
    <col min="15881" max="15881" width="17.7109375" style="5" bestFit="1" customWidth="1"/>
    <col min="15882" max="15882" width="13.5703125" style="5" customWidth="1"/>
    <col min="15883" max="15883" width="18.5703125" style="5" bestFit="1" customWidth="1"/>
    <col min="15884" max="15885" width="12.28515625" style="5" bestFit="1" customWidth="1"/>
    <col min="15886" max="16128" width="11.42578125" style="5"/>
    <col min="16129" max="16129" width="2.5703125" style="5" customWidth="1"/>
    <col min="16130" max="16130" width="22.42578125" style="5" customWidth="1"/>
    <col min="16131" max="16131" width="12.140625" style="5" bestFit="1" customWidth="1"/>
    <col min="16132" max="16132" width="8.140625" style="5" customWidth="1"/>
    <col min="16133" max="16133" width="8.5703125" style="5" customWidth="1"/>
    <col min="16134" max="16134" width="17" style="5" bestFit="1" customWidth="1"/>
    <col min="16135" max="16135" width="16.7109375" style="5" bestFit="1" customWidth="1"/>
    <col min="16136" max="16136" width="18" style="5" bestFit="1" customWidth="1"/>
    <col min="16137" max="16137" width="17.7109375" style="5" bestFit="1" customWidth="1"/>
    <col min="16138" max="16138" width="13.5703125" style="5" customWidth="1"/>
    <col min="16139" max="16139" width="18.5703125" style="5" bestFit="1" customWidth="1"/>
    <col min="16140" max="16141" width="12.28515625" style="5" bestFit="1" customWidth="1"/>
    <col min="16142" max="16384" width="11.42578125" style="5"/>
  </cols>
  <sheetData>
    <row r="1" spans="1:13" x14ac:dyDescent="0.2">
      <c r="A1" s="2" t="s">
        <v>87</v>
      </c>
      <c r="B1" s="2"/>
      <c r="C1" s="3"/>
      <c r="D1" s="3"/>
      <c r="E1" s="4"/>
    </row>
    <row r="2" spans="1:13" x14ac:dyDescent="0.2">
      <c r="A2" s="2"/>
      <c r="B2" s="2"/>
      <c r="C2" s="3"/>
      <c r="D2" s="3"/>
      <c r="E2" s="4"/>
    </row>
    <row r="3" spans="1:13" x14ac:dyDescent="0.2">
      <c r="A3" s="6" t="s">
        <v>0</v>
      </c>
      <c r="B3" s="6"/>
      <c r="C3" s="3"/>
      <c r="D3" s="3"/>
    </row>
    <row r="4" spans="1:13" x14ac:dyDescent="0.2">
      <c r="A4" s="7" t="s">
        <v>88</v>
      </c>
      <c r="B4" s="6"/>
      <c r="C4" s="3"/>
      <c r="D4" s="3"/>
      <c r="M4" s="8"/>
    </row>
    <row r="5" spans="1:13" x14ac:dyDescent="0.2">
      <c r="A5" s="9" t="s">
        <v>2</v>
      </c>
      <c r="B5" s="9"/>
      <c r="C5" s="10" t="s">
        <v>3</v>
      </c>
      <c r="D5" s="71" t="s">
        <v>4</v>
      </c>
      <c r="E5" s="71"/>
      <c r="F5" s="10" t="s">
        <v>5</v>
      </c>
      <c r="G5" s="11" t="s">
        <v>6</v>
      </c>
      <c r="H5" s="11" t="s">
        <v>7</v>
      </c>
      <c r="I5" s="10" t="s">
        <v>8</v>
      </c>
      <c r="J5" s="10" t="s">
        <v>9</v>
      </c>
      <c r="K5" s="10" t="s">
        <v>9</v>
      </c>
      <c r="L5" s="10" t="s">
        <v>9</v>
      </c>
      <c r="M5" s="10" t="s">
        <v>9</v>
      </c>
    </row>
    <row r="6" spans="1:13" x14ac:dyDescent="0.2">
      <c r="C6" s="12" t="s">
        <v>10</v>
      </c>
      <c r="D6" s="13" t="s">
        <v>11</v>
      </c>
      <c r="E6" s="13" t="s">
        <v>12</v>
      </c>
      <c r="F6" s="12" t="s">
        <v>13</v>
      </c>
      <c r="G6" s="12" t="s">
        <v>14</v>
      </c>
      <c r="H6" s="13" t="s">
        <v>15</v>
      </c>
      <c r="I6" s="13" t="s">
        <v>16</v>
      </c>
      <c r="J6" s="13" t="s">
        <v>17</v>
      </c>
      <c r="K6" s="13" t="s">
        <v>18</v>
      </c>
      <c r="L6" s="66" t="s">
        <v>19</v>
      </c>
      <c r="M6" s="15" t="s">
        <v>20</v>
      </c>
    </row>
    <row r="7" spans="1:13" x14ac:dyDescent="0.2">
      <c r="A7" s="8"/>
      <c r="B7" s="8"/>
      <c r="C7" s="8"/>
      <c r="D7" s="8"/>
      <c r="E7" s="8"/>
      <c r="F7" s="16" t="s">
        <v>21</v>
      </c>
      <c r="G7" s="16" t="s">
        <v>10</v>
      </c>
      <c r="H7" s="16" t="s">
        <v>21</v>
      </c>
      <c r="I7" s="18"/>
      <c r="J7" s="8"/>
      <c r="K7" s="8"/>
      <c r="L7" s="8"/>
      <c r="M7" s="8"/>
    </row>
    <row r="8" spans="1:13" x14ac:dyDescent="0.2">
      <c r="F8" s="12"/>
      <c r="G8" s="19"/>
      <c r="H8" s="12"/>
      <c r="I8" s="13"/>
    </row>
    <row r="9" spans="1:13" x14ac:dyDescent="0.2">
      <c r="A9" s="72" t="s">
        <v>22</v>
      </c>
      <c r="B9" s="72"/>
      <c r="C9" s="5">
        <v>1664232</v>
      </c>
      <c r="D9" s="20">
        <v>0.85</v>
      </c>
      <c r="E9" s="20">
        <v>0.44</v>
      </c>
      <c r="F9" s="5">
        <v>3459824</v>
      </c>
      <c r="G9" s="5">
        <f>+J9+K9+L9+M9</f>
        <v>4026061</v>
      </c>
      <c r="H9" s="21">
        <f t="shared" ref="H9:H34" si="0">G9-F9</f>
        <v>566237</v>
      </c>
      <c r="I9" s="5">
        <v>383399</v>
      </c>
      <c r="J9" s="5">
        <v>0</v>
      </c>
      <c r="K9" s="5">
        <f>213347+988741+625938</f>
        <v>1828026</v>
      </c>
      <c r="L9" s="5">
        <v>0</v>
      </c>
      <c r="M9" s="5">
        <v>2198035</v>
      </c>
    </row>
    <row r="10" spans="1:13" s="21" customFormat="1" x14ac:dyDescent="0.2">
      <c r="A10" s="1" t="s">
        <v>23</v>
      </c>
      <c r="B10" s="7"/>
      <c r="C10" s="5">
        <v>6633025</v>
      </c>
      <c r="D10" s="20">
        <v>0.91</v>
      </c>
      <c r="E10" s="20">
        <v>0.23</v>
      </c>
      <c r="F10" s="5">
        <v>26206847</v>
      </c>
      <c r="G10" s="21">
        <f t="shared" ref="G10:G34" si="1">+J10+K10+L10+M10</f>
        <v>33815203</v>
      </c>
      <c r="H10" s="21">
        <f t="shared" si="0"/>
        <v>7608356</v>
      </c>
      <c r="I10" s="5">
        <v>12573858</v>
      </c>
      <c r="J10" s="5">
        <v>0</v>
      </c>
      <c r="K10" s="5">
        <f>1794317+17223355+602180</f>
        <v>19619852</v>
      </c>
      <c r="L10" s="5">
        <v>24284</v>
      </c>
      <c r="M10" s="5">
        <v>14171067</v>
      </c>
    </row>
    <row r="11" spans="1:13" s="21" customFormat="1" x14ac:dyDescent="0.2">
      <c r="A11" s="1" t="s">
        <v>24</v>
      </c>
      <c r="B11" s="1"/>
      <c r="C11" s="5">
        <v>3772692</v>
      </c>
      <c r="D11" s="20">
        <v>3.15</v>
      </c>
      <c r="E11" s="20">
        <v>0.93</v>
      </c>
      <c r="F11" s="5">
        <v>13053033</v>
      </c>
      <c r="G11" s="21">
        <f t="shared" si="1"/>
        <v>14472502</v>
      </c>
      <c r="H11" s="21">
        <f t="shared" si="0"/>
        <v>1419469</v>
      </c>
      <c r="I11" s="5">
        <v>914087</v>
      </c>
      <c r="J11" s="5">
        <v>0</v>
      </c>
      <c r="K11" s="5">
        <f>1424236+7524951+8217+325622</f>
        <v>9283026</v>
      </c>
      <c r="L11" s="5">
        <v>0</v>
      </c>
      <c r="M11" s="5">
        <v>5189476</v>
      </c>
    </row>
    <row r="12" spans="1:13" x14ac:dyDescent="0.2">
      <c r="A12" s="1" t="s">
        <v>25</v>
      </c>
      <c r="B12" s="1"/>
      <c r="C12" s="5">
        <v>3867600</v>
      </c>
      <c r="D12" s="20">
        <v>4.33</v>
      </c>
      <c r="E12" s="20">
        <v>0.08</v>
      </c>
      <c r="F12" s="5">
        <v>52624444</v>
      </c>
      <c r="G12" s="5">
        <f>+J12+K12+L12+M12</f>
        <v>59777252</v>
      </c>
      <c r="H12" s="21">
        <f>G12-F12</f>
        <v>7152808</v>
      </c>
      <c r="I12" s="5">
        <v>697192</v>
      </c>
      <c r="J12" s="5">
        <v>46034815</v>
      </c>
      <c r="K12" s="5">
        <f>183766+2538263+0</f>
        <v>2722029</v>
      </c>
      <c r="L12" s="5">
        <v>0</v>
      </c>
      <c r="M12" s="5">
        <v>11020408</v>
      </c>
    </row>
    <row r="13" spans="1:13" x14ac:dyDescent="0.2">
      <c r="A13" s="1" t="s">
        <v>26</v>
      </c>
      <c r="B13" s="1"/>
      <c r="C13" s="5">
        <v>5275169</v>
      </c>
      <c r="D13" s="20">
        <v>4.1100000000000003</v>
      </c>
      <c r="E13" s="20">
        <v>0.7</v>
      </c>
      <c r="F13" s="5">
        <v>36829341</v>
      </c>
      <c r="G13" s="21">
        <f>+J13+K13+L13+M13</f>
        <v>41120646</v>
      </c>
      <c r="H13" s="21">
        <f>G13-F13</f>
        <v>4291305</v>
      </c>
      <c r="I13" s="5">
        <v>240100</v>
      </c>
      <c r="J13" s="5">
        <v>17374934</v>
      </c>
      <c r="K13" s="5">
        <f>1779491+5806455+382404+6352464</f>
        <v>14320814</v>
      </c>
      <c r="L13" s="5">
        <v>0</v>
      </c>
      <c r="M13" s="5">
        <v>9424898</v>
      </c>
    </row>
    <row r="14" spans="1:13" x14ac:dyDescent="0.2">
      <c r="A14" s="73" t="s">
        <v>27</v>
      </c>
      <c r="B14" s="74"/>
      <c r="C14" s="5">
        <v>28547875</v>
      </c>
      <c r="D14" s="20">
        <v>12.39</v>
      </c>
      <c r="E14" s="20">
        <v>0.87</v>
      </c>
      <c r="F14" s="5">
        <v>405033185</v>
      </c>
      <c r="G14" s="5">
        <f>+J14+K14+L14+M14</f>
        <v>407589899</v>
      </c>
      <c r="H14" s="21">
        <f t="shared" si="0"/>
        <v>2556714</v>
      </c>
      <c r="I14" s="5">
        <v>17478197</v>
      </c>
      <c r="J14" s="5">
        <v>374282001</v>
      </c>
      <c r="K14" s="5">
        <f>689052+4070971</f>
        <v>4760023</v>
      </c>
      <c r="L14" s="5">
        <v>0</v>
      </c>
      <c r="M14" s="5">
        <v>28547875</v>
      </c>
    </row>
    <row r="15" spans="1:13" s="21" customFormat="1" x14ac:dyDescent="0.2">
      <c r="A15" s="1" t="s">
        <v>28</v>
      </c>
      <c r="B15" s="7"/>
      <c r="C15" s="5">
        <v>3832296</v>
      </c>
      <c r="D15" s="20">
        <v>2.3199999999999998</v>
      </c>
      <c r="E15" s="20">
        <v>0.56999999999999995</v>
      </c>
      <c r="F15" s="5">
        <v>15647056</v>
      </c>
      <c r="G15" s="21">
        <f>+J15+K15+L15+M15</f>
        <v>17783594</v>
      </c>
      <c r="H15" s="21">
        <f t="shared" si="0"/>
        <v>2136538</v>
      </c>
      <c r="I15" s="5">
        <v>219255</v>
      </c>
      <c r="J15" s="5">
        <v>0</v>
      </c>
      <c r="K15" s="5">
        <f>1189302+10625458+0</f>
        <v>11814760</v>
      </c>
      <c r="L15" s="5">
        <v>0</v>
      </c>
      <c r="M15" s="5">
        <v>5968834</v>
      </c>
    </row>
    <row r="16" spans="1:13" x14ac:dyDescent="0.2">
      <c r="A16" s="1" t="s">
        <v>29</v>
      </c>
      <c r="B16" s="7"/>
      <c r="C16" s="5">
        <v>38309923</v>
      </c>
      <c r="D16" s="20">
        <v>7.71</v>
      </c>
      <c r="E16" s="20">
        <v>0.13</v>
      </c>
      <c r="F16" s="5">
        <v>577852660</v>
      </c>
      <c r="G16" s="5">
        <f t="shared" si="1"/>
        <v>605489057</v>
      </c>
      <c r="H16" s="21">
        <f t="shared" si="0"/>
        <v>27636397</v>
      </c>
      <c r="I16" s="5">
        <v>970440</v>
      </c>
      <c r="J16" s="5">
        <v>474714776</v>
      </c>
      <c r="K16" s="5">
        <f>9802032+30184660+3947854+22909830</f>
        <v>66844376</v>
      </c>
      <c r="L16" s="5">
        <v>192704</v>
      </c>
      <c r="M16" s="5">
        <v>63737201</v>
      </c>
    </row>
    <row r="17" spans="1:13" s="23" customFormat="1" x14ac:dyDescent="0.2">
      <c r="A17" s="1" t="s">
        <v>30</v>
      </c>
      <c r="B17" s="1"/>
      <c r="C17" s="21">
        <v>7700981</v>
      </c>
      <c r="D17" s="22">
        <v>6.16</v>
      </c>
      <c r="E17" s="22">
        <v>0.15</v>
      </c>
      <c r="F17" s="21">
        <v>98572866</v>
      </c>
      <c r="G17" s="21">
        <f t="shared" si="1"/>
        <v>106139588</v>
      </c>
      <c r="H17" s="21">
        <f t="shared" si="0"/>
        <v>7566722</v>
      </c>
      <c r="I17" s="21">
        <v>179713</v>
      </c>
      <c r="J17" s="21">
        <v>94517892</v>
      </c>
      <c r="K17" s="21">
        <f>1599142+1312071+1009502</f>
        <v>3920715</v>
      </c>
      <c r="L17" s="21">
        <v>0</v>
      </c>
      <c r="M17" s="21">
        <v>7700981</v>
      </c>
    </row>
    <row r="18" spans="1:13" x14ac:dyDescent="0.2">
      <c r="A18" s="1" t="s">
        <v>31</v>
      </c>
      <c r="B18" s="7"/>
      <c r="C18" s="5">
        <v>19277824</v>
      </c>
      <c r="D18" s="20">
        <v>6.82</v>
      </c>
      <c r="E18" s="20">
        <v>0.31</v>
      </c>
      <c r="F18" s="5">
        <v>295386624</v>
      </c>
      <c r="G18" s="5">
        <f>+J18+K18+L18+M18</f>
        <v>306772958</v>
      </c>
      <c r="H18" s="21">
        <f t="shared" si="0"/>
        <v>11386334</v>
      </c>
      <c r="I18" s="5">
        <v>11020645</v>
      </c>
      <c r="J18" s="5">
        <v>274567857</v>
      </c>
      <c r="K18" s="5">
        <f>26853+1514090</f>
        <v>1540943</v>
      </c>
      <c r="L18" s="5">
        <v>0</v>
      </c>
      <c r="M18" s="5">
        <v>30664158</v>
      </c>
    </row>
    <row r="19" spans="1:13" x14ac:dyDescent="0.2">
      <c r="A19" s="1" t="s">
        <v>32</v>
      </c>
      <c r="B19" s="1"/>
      <c r="C19" s="5">
        <v>132984574</v>
      </c>
      <c r="D19" s="20">
        <v>7.53</v>
      </c>
      <c r="E19" s="20">
        <v>0.65</v>
      </c>
      <c r="F19" s="5">
        <v>1586382159</v>
      </c>
      <c r="G19" s="5">
        <f t="shared" si="1"/>
        <v>1653327177</v>
      </c>
      <c r="H19" s="21">
        <f t="shared" si="0"/>
        <v>66945018</v>
      </c>
      <c r="I19" s="5">
        <v>27775747</v>
      </c>
      <c r="J19" s="5">
        <v>1340953104</v>
      </c>
      <c r="K19" s="5">
        <f>1626450+41476001+11294713+41121967</f>
        <v>95519131</v>
      </c>
      <c r="L19" s="5">
        <v>10007935</v>
      </c>
      <c r="M19" s="5">
        <v>206847007</v>
      </c>
    </row>
    <row r="20" spans="1:13" x14ac:dyDescent="0.2">
      <c r="A20" s="1" t="s">
        <v>33</v>
      </c>
      <c r="B20" s="1"/>
      <c r="C20" s="5">
        <v>54585264</v>
      </c>
      <c r="D20" s="20">
        <v>9.1999999999999993</v>
      </c>
      <c r="E20" s="20">
        <v>0.3</v>
      </c>
      <c r="F20" s="5">
        <v>820578083</v>
      </c>
      <c r="G20" s="5">
        <f t="shared" si="1"/>
        <v>845118518</v>
      </c>
      <c r="H20" s="21">
        <f t="shared" si="0"/>
        <v>24540435</v>
      </c>
      <c r="I20" s="5">
        <v>5676066</v>
      </c>
      <c r="J20" s="5">
        <v>758513973</v>
      </c>
      <c r="K20" s="5">
        <f>2097022+25450278+2605+4467294</f>
        <v>32017199</v>
      </c>
      <c r="L20" s="5">
        <v>2082</v>
      </c>
      <c r="M20" s="5">
        <v>54585264</v>
      </c>
    </row>
    <row r="21" spans="1:13" x14ac:dyDescent="0.2">
      <c r="A21" s="1" t="s">
        <v>34</v>
      </c>
      <c r="B21" s="1"/>
      <c r="C21" s="5">
        <v>21239523</v>
      </c>
      <c r="D21" s="20">
        <v>7.17</v>
      </c>
      <c r="E21" s="20">
        <v>0.3</v>
      </c>
      <c r="F21" s="5">
        <v>271359175</v>
      </c>
      <c r="G21" s="5">
        <f t="shared" si="1"/>
        <v>282149210</v>
      </c>
      <c r="H21" s="21">
        <f t="shared" si="0"/>
        <v>10790035</v>
      </c>
      <c r="I21" s="5">
        <v>7125931</v>
      </c>
      <c r="J21" s="5">
        <v>227610859</v>
      </c>
      <c r="K21" s="5">
        <f>2232094+7513621+1753234+11273883</f>
        <v>22772832</v>
      </c>
      <c r="L21" s="5">
        <v>45591</v>
      </c>
      <c r="M21" s="5">
        <v>31719928</v>
      </c>
    </row>
    <row r="22" spans="1:13" x14ac:dyDescent="0.2">
      <c r="A22" s="1" t="s">
        <v>35</v>
      </c>
      <c r="B22" s="1"/>
      <c r="C22" s="5">
        <v>22326872</v>
      </c>
      <c r="D22" s="20">
        <v>10.9</v>
      </c>
      <c r="E22" s="20">
        <v>0.59</v>
      </c>
      <c r="F22" s="5">
        <v>345130401</v>
      </c>
      <c r="G22" s="5">
        <f t="shared" si="1"/>
        <v>350034565</v>
      </c>
      <c r="H22" s="21">
        <f t="shared" si="0"/>
        <v>4904164</v>
      </c>
      <c r="I22" s="5">
        <v>732068</v>
      </c>
      <c r="J22" s="5">
        <v>270943612</v>
      </c>
      <c r="K22" s="5">
        <f>2166310+12470711+16702782+21433647</f>
        <v>52773450</v>
      </c>
      <c r="L22" s="5">
        <v>184785</v>
      </c>
      <c r="M22" s="5">
        <v>26132718</v>
      </c>
    </row>
    <row r="23" spans="1:13" x14ac:dyDescent="0.2">
      <c r="A23" s="1" t="s">
        <v>36</v>
      </c>
      <c r="B23" s="1"/>
      <c r="C23" s="5">
        <v>1558535</v>
      </c>
      <c r="D23" s="20">
        <v>1.52</v>
      </c>
      <c r="E23" s="20">
        <v>0.09</v>
      </c>
      <c r="F23" s="5">
        <v>5169398</v>
      </c>
      <c r="G23" s="5">
        <f t="shared" si="1"/>
        <v>5899835</v>
      </c>
      <c r="H23" s="21">
        <f t="shared" si="0"/>
        <v>730437</v>
      </c>
      <c r="I23" s="5">
        <v>305209</v>
      </c>
      <c r="J23" s="5">
        <v>0</v>
      </c>
      <c r="K23" s="5">
        <f>212878+3397985+0</f>
        <v>3610863</v>
      </c>
      <c r="L23" s="5">
        <v>0</v>
      </c>
      <c r="M23" s="5">
        <v>2288972</v>
      </c>
    </row>
    <row r="24" spans="1:13" s="3" customFormat="1" x14ac:dyDescent="0.2">
      <c r="A24" s="1" t="s">
        <v>37</v>
      </c>
      <c r="B24" s="1"/>
      <c r="C24" s="5">
        <v>84499798</v>
      </c>
      <c r="D24" s="20">
        <v>8.67</v>
      </c>
      <c r="E24" s="20">
        <v>0.11</v>
      </c>
      <c r="F24" s="5">
        <v>1292015976</v>
      </c>
      <c r="G24" s="21">
        <f t="shared" si="1"/>
        <v>1317365347</v>
      </c>
      <c r="H24" s="21">
        <f t="shared" si="0"/>
        <v>25349371</v>
      </c>
      <c r="I24" s="5">
        <v>20794663</v>
      </c>
      <c r="J24" s="5">
        <v>1109639389</v>
      </c>
      <c r="K24" s="5">
        <f>4061478+46528850+10207773+31300937</f>
        <v>92099038</v>
      </c>
      <c r="L24" s="5">
        <v>156733</v>
      </c>
      <c r="M24" s="5">
        <v>115470187</v>
      </c>
    </row>
    <row r="25" spans="1:13" s="3" customFormat="1" x14ac:dyDescent="0.2">
      <c r="A25" s="1" t="s">
        <v>38</v>
      </c>
      <c r="B25" s="1"/>
      <c r="C25" s="5">
        <v>11835530</v>
      </c>
      <c r="D25" s="20">
        <v>2.86</v>
      </c>
      <c r="E25" s="20">
        <v>0.36</v>
      </c>
      <c r="F25" s="5">
        <v>120508340</v>
      </c>
      <c r="G25" s="21">
        <f t="shared" si="1"/>
        <v>136051201</v>
      </c>
      <c r="H25" s="21">
        <f>G25-F25</f>
        <v>15542861</v>
      </c>
      <c r="I25" s="5">
        <v>10520323</v>
      </c>
      <c r="J25" s="5">
        <v>32688712</v>
      </c>
      <c r="K25" s="5">
        <f>4012260+42131453+327342+30087309</f>
        <v>76558364</v>
      </c>
      <c r="L25" s="5">
        <v>0</v>
      </c>
      <c r="M25" s="5">
        <v>26804125</v>
      </c>
    </row>
    <row r="26" spans="1:13" x14ac:dyDescent="0.2">
      <c r="A26" s="1" t="s">
        <v>81</v>
      </c>
      <c r="B26" s="7"/>
      <c r="C26" s="5">
        <v>29502307</v>
      </c>
      <c r="D26" s="20">
        <v>11.47</v>
      </c>
      <c r="E26" s="20">
        <v>0.14000000000000001</v>
      </c>
      <c r="F26" s="5">
        <v>467159907</v>
      </c>
      <c r="G26" s="5">
        <f t="shared" si="1"/>
        <v>474216386</v>
      </c>
      <c r="H26" s="21">
        <f>G26-F26</f>
        <v>7056479</v>
      </c>
      <c r="I26" s="5">
        <v>133167</v>
      </c>
      <c r="J26" s="5">
        <v>403774291</v>
      </c>
      <c r="K26" s="5">
        <v>33883309</v>
      </c>
      <c r="L26" s="5">
        <v>0</v>
      </c>
      <c r="M26" s="5">
        <v>36558786</v>
      </c>
    </row>
    <row r="27" spans="1:13" s="21" customFormat="1" x14ac:dyDescent="0.2">
      <c r="A27" s="1" t="s">
        <v>40</v>
      </c>
      <c r="B27" s="1"/>
      <c r="C27" s="5">
        <v>1558535</v>
      </c>
      <c r="D27" s="20">
        <v>3.19</v>
      </c>
      <c r="E27" s="20">
        <v>0.13</v>
      </c>
      <c r="F27" s="5">
        <v>14118356</v>
      </c>
      <c r="G27" s="21">
        <f t="shared" si="1"/>
        <v>16199082</v>
      </c>
      <c r="H27" s="21">
        <f t="shared" ref="H27:H33" si="2">G27-F27</f>
        <v>2080726</v>
      </c>
      <c r="I27" s="5">
        <v>28195</v>
      </c>
      <c r="J27" s="5">
        <v>11644722</v>
      </c>
      <c r="K27" s="5">
        <f>289269+375026+213378</f>
        <v>877673</v>
      </c>
      <c r="L27" s="5">
        <v>44821</v>
      </c>
      <c r="M27" s="5">
        <v>3631866</v>
      </c>
    </row>
    <row r="28" spans="1:13" s="21" customFormat="1" x14ac:dyDescent="0.2">
      <c r="A28" s="1" t="s">
        <v>41</v>
      </c>
      <c r="B28" s="1"/>
      <c r="C28" s="5">
        <v>67773855</v>
      </c>
      <c r="D28" s="20">
        <v>9.01</v>
      </c>
      <c r="E28" s="20">
        <v>0.4</v>
      </c>
      <c r="F28" s="5">
        <v>992278139</v>
      </c>
      <c r="G28" s="21">
        <f t="shared" si="1"/>
        <v>996999467</v>
      </c>
      <c r="H28" s="21">
        <f t="shared" si="2"/>
        <v>4721328</v>
      </c>
      <c r="I28" s="5">
        <v>8817777</v>
      </c>
      <c r="J28" s="5">
        <v>896907594</v>
      </c>
      <c r="K28" s="5">
        <f>3536371+7324494+771679+20330089</f>
        <v>31962633</v>
      </c>
      <c r="L28" s="5">
        <v>355385</v>
      </c>
      <c r="M28" s="5">
        <v>67773855</v>
      </c>
    </row>
    <row r="29" spans="1:13" x14ac:dyDescent="0.2">
      <c r="A29" s="1" t="s">
        <v>42</v>
      </c>
      <c r="B29" s="1"/>
      <c r="C29" s="5">
        <v>18023323</v>
      </c>
      <c r="D29" s="20">
        <v>10.81</v>
      </c>
      <c r="E29" s="20">
        <v>0.12</v>
      </c>
      <c r="F29" s="5">
        <v>280874607</v>
      </c>
      <c r="G29" s="5">
        <f t="shared" si="1"/>
        <v>286553738</v>
      </c>
      <c r="H29" s="21">
        <f t="shared" si="2"/>
        <v>5679131</v>
      </c>
      <c r="I29" s="5">
        <v>176638</v>
      </c>
      <c r="J29" s="5">
        <v>259524521</v>
      </c>
      <c r="K29" s="5">
        <f>310528+3016235</f>
        <v>3326763</v>
      </c>
      <c r="L29" s="5">
        <v>0</v>
      </c>
      <c r="M29" s="5">
        <v>23702454</v>
      </c>
    </row>
    <row r="30" spans="1:13" s="21" customFormat="1" x14ac:dyDescent="0.2">
      <c r="A30" s="1" t="s">
        <v>43</v>
      </c>
      <c r="B30" s="7"/>
      <c r="C30" s="5">
        <v>33359382</v>
      </c>
      <c r="D30" s="20">
        <v>8.67</v>
      </c>
      <c r="E30" s="20">
        <v>0.21</v>
      </c>
      <c r="F30" s="5">
        <v>511991357</v>
      </c>
      <c r="G30" s="21">
        <f>+J30+K30+L30+M30</f>
        <v>520844873</v>
      </c>
      <c r="H30" s="21">
        <f>G30-F30</f>
        <v>8853516</v>
      </c>
      <c r="I30" s="5">
        <v>4990662</v>
      </c>
      <c r="J30" s="5">
        <v>468297121</v>
      </c>
      <c r="K30" s="5">
        <f>229829+1787543+9575914</f>
        <v>11593286</v>
      </c>
      <c r="L30" s="5">
        <v>55642</v>
      </c>
      <c r="M30" s="5">
        <v>40898824</v>
      </c>
    </row>
    <row r="31" spans="1:13" s="21" customFormat="1" x14ac:dyDescent="0.2">
      <c r="A31" s="1" t="s">
        <v>44</v>
      </c>
      <c r="B31" s="7"/>
      <c r="C31" s="5">
        <v>60850265</v>
      </c>
      <c r="D31" s="20">
        <v>12.73</v>
      </c>
      <c r="E31" s="20">
        <v>0.5</v>
      </c>
      <c r="F31" s="5">
        <v>933704860</v>
      </c>
      <c r="G31" s="21">
        <f t="shared" si="1"/>
        <v>936523782</v>
      </c>
      <c r="H31" s="21">
        <f t="shared" si="2"/>
        <v>2818922</v>
      </c>
      <c r="I31" s="5">
        <v>7473493</v>
      </c>
      <c r="J31" s="5">
        <v>865431146</v>
      </c>
      <c r="K31" s="5">
        <f>1133247+4463920+638151+1257740</f>
        <v>7493058</v>
      </c>
      <c r="L31" s="5">
        <v>0</v>
      </c>
      <c r="M31" s="5">
        <v>63599578</v>
      </c>
    </row>
    <row r="32" spans="1:13" x14ac:dyDescent="0.2">
      <c r="A32" s="1" t="s">
        <v>45</v>
      </c>
      <c r="B32" s="1"/>
      <c r="C32" s="5">
        <v>17485299</v>
      </c>
      <c r="D32" s="20">
        <v>8.52</v>
      </c>
      <c r="E32" s="20">
        <v>0.21</v>
      </c>
      <c r="F32" s="5">
        <v>273517509</v>
      </c>
      <c r="G32" s="5">
        <f t="shared" si="1"/>
        <v>277171192</v>
      </c>
      <c r="H32" s="21">
        <f t="shared" si="2"/>
        <v>3653683</v>
      </c>
      <c r="I32" s="5">
        <v>11829846</v>
      </c>
      <c r="J32" s="5">
        <v>255010859</v>
      </c>
      <c r="K32" s="5">
        <f>627652+177755+229000</f>
        <v>1034407</v>
      </c>
      <c r="L32" s="5">
        <v>1472</v>
      </c>
      <c r="M32" s="5">
        <v>21124454</v>
      </c>
    </row>
    <row r="33" spans="1:13" s="21" customFormat="1" x14ac:dyDescent="0.2">
      <c r="A33" s="1" t="s">
        <v>46</v>
      </c>
      <c r="B33" s="1"/>
      <c r="C33" s="5">
        <v>57017962</v>
      </c>
      <c r="D33" s="20">
        <v>6.54</v>
      </c>
      <c r="E33" s="20">
        <v>0.44</v>
      </c>
      <c r="F33" s="5">
        <v>57017962</v>
      </c>
      <c r="G33" s="5">
        <f t="shared" si="1"/>
        <v>57505427</v>
      </c>
      <c r="H33" s="21">
        <f t="shared" si="2"/>
        <v>487465</v>
      </c>
      <c r="I33" s="5">
        <v>647498</v>
      </c>
      <c r="J33" s="5">
        <v>37845246</v>
      </c>
      <c r="K33" s="5">
        <f>1699549+3115186+4574354+4260090</f>
        <v>13649179</v>
      </c>
      <c r="L33" s="5">
        <v>290860</v>
      </c>
      <c r="M33" s="5">
        <v>5720142</v>
      </c>
    </row>
    <row r="34" spans="1:13" x14ac:dyDescent="0.2">
      <c r="A34" s="1" t="s">
        <v>47</v>
      </c>
      <c r="B34" s="1"/>
      <c r="C34" s="5">
        <v>50362182</v>
      </c>
      <c r="D34" s="20">
        <v>8.8800000000000008</v>
      </c>
      <c r="E34" s="20">
        <v>0.15</v>
      </c>
      <c r="F34" s="5">
        <v>784350791</v>
      </c>
      <c r="G34" s="21">
        <f t="shared" si="1"/>
        <v>795414022</v>
      </c>
      <c r="H34" s="21">
        <f t="shared" si="0"/>
        <v>11063231</v>
      </c>
      <c r="I34" s="5">
        <v>9387317</v>
      </c>
      <c r="J34" s="5">
        <v>717389990</v>
      </c>
      <c r="K34" s="5">
        <f>637459+7291564+2506252+6222979</f>
        <v>16658254</v>
      </c>
      <c r="L34" s="5">
        <v>0</v>
      </c>
      <c r="M34" s="5">
        <v>61365778</v>
      </c>
    </row>
    <row r="35" spans="1:13" x14ac:dyDescent="0.2">
      <c r="A35" s="24" t="s">
        <v>49</v>
      </c>
      <c r="B35" s="24"/>
      <c r="C35" s="25">
        <f>SUM(C9:C34)</f>
        <v>783844823</v>
      </c>
      <c r="D35" s="26"/>
      <c r="E35" s="26"/>
      <c r="F35" s="25">
        <f t="shared" ref="F35:M35" si="3">SUM(F9:F34)</f>
        <v>10280822900</v>
      </c>
      <c r="G35" s="25">
        <f t="shared" si="3"/>
        <v>10548360582</v>
      </c>
      <c r="H35" s="25">
        <f t="shared" si="3"/>
        <v>267537682</v>
      </c>
      <c r="I35" s="25">
        <f t="shared" si="3"/>
        <v>161091486</v>
      </c>
      <c r="J35" s="25">
        <f t="shared" si="3"/>
        <v>8937667414</v>
      </c>
      <c r="K35" s="25">
        <f t="shared" si="3"/>
        <v>632484003</v>
      </c>
      <c r="L35" s="25">
        <f t="shared" si="3"/>
        <v>11362294</v>
      </c>
      <c r="M35" s="25">
        <f t="shared" si="3"/>
        <v>966846871</v>
      </c>
    </row>
    <row r="36" spans="1:13" x14ac:dyDescent="0.2">
      <c r="A36" s="27"/>
      <c r="B36" s="27"/>
      <c r="D36" s="20"/>
      <c r="E36" s="20"/>
      <c r="M36" s="28"/>
    </row>
    <row r="37" spans="1:13" s="21" customFormat="1" x14ac:dyDescent="0.2">
      <c r="A37" s="1" t="s">
        <v>50</v>
      </c>
      <c r="B37" s="7"/>
      <c r="C37" s="5">
        <v>2740269</v>
      </c>
      <c r="D37" s="20">
        <v>2.31</v>
      </c>
      <c r="E37" s="20">
        <v>0.15</v>
      </c>
      <c r="F37" s="5">
        <v>41119140</v>
      </c>
      <c r="G37" s="5">
        <f>+J37+K37+L37+M37</f>
        <v>47480192</v>
      </c>
      <c r="H37" s="21">
        <f>G37-F37</f>
        <v>6361052</v>
      </c>
      <c r="I37" s="5">
        <v>9160324</v>
      </c>
      <c r="J37" s="5">
        <v>38116834</v>
      </c>
      <c r="K37" s="5">
        <f>244243+17794</f>
        <v>262037</v>
      </c>
      <c r="L37" s="5">
        <v>0</v>
      </c>
      <c r="M37" s="5">
        <v>9101321</v>
      </c>
    </row>
    <row r="38" spans="1:13" x14ac:dyDescent="0.2">
      <c r="A38" s="30" t="s">
        <v>51</v>
      </c>
      <c r="B38" s="30"/>
      <c r="C38" s="25">
        <f t="shared" ref="C38:H38" si="4">SUM(C37:C37)</f>
        <v>2740269</v>
      </c>
      <c r="D38" s="26"/>
      <c r="E38" s="26"/>
      <c r="F38" s="25">
        <f t="shared" si="4"/>
        <v>41119140</v>
      </c>
      <c r="G38" s="25">
        <f t="shared" si="4"/>
        <v>47480192</v>
      </c>
      <c r="H38" s="25">
        <f t="shared" si="4"/>
        <v>6361052</v>
      </c>
      <c r="I38" s="25">
        <f>SUM(I37:I37)</f>
        <v>9160324</v>
      </c>
      <c r="J38" s="25">
        <f>SUM(J37:J37)</f>
        <v>38116834</v>
      </c>
      <c r="K38" s="25">
        <f>SUM(K37:K37)</f>
        <v>262037</v>
      </c>
      <c r="L38" s="25">
        <f>SUM(L37:L37)</f>
        <v>0</v>
      </c>
      <c r="M38" s="25">
        <f>SUM(M37:M37)</f>
        <v>9101321</v>
      </c>
    </row>
    <row r="39" spans="1:13" x14ac:dyDescent="0.2">
      <c r="D39" s="20"/>
      <c r="E39" s="20"/>
      <c r="I39" s="21"/>
      <c r="J39" s="21"/>
      <c r="K39" s="21"/>
      <c r="M39" s="28"/>
    </row>
    <row r="40" spans="1:13" x14ac:dyDescent="0.2">
      <c r="A40" s="32" t="s">
        <v>11</v>
      </c>
      <c r="B40" s="32"/>
      <c r="C40" s="8">
        <f>C35+C38</f>
        <v>786585092</v>
      </c>
      <c r="D40" s="33"/>
      <c r="E40" s="33"/>
      <c r="F40" s="8">
        <f t="shared" ref="F40:M40" si="5">F35+F38</f>
        <v>10321942040</v>
      </c>
      <c r="G40" s="8">
        <f t="shared" si="5"/>
        <v>10595840774</v>
      </c>
      <c r="H40" s="8">
        <f t="shared" si="5"/>
        <v>273898734</v>
      </c>
      <c r="I40" s="8">
        <f t="shared" si="5"/>
        <v>170251810</v>
      </c>
      <c r="J40" s="29">
        <f t="shared" si="5"/>
        <v>8975784248</v>
      </c>
      <c r="K40" s="29">
        <f t="shared" si="5"/>
        <v>632746040</v>
      </c>
      <c r="L40" s="8">
        <f t="shared" si="5"/>
        <v>11362294</v>
      </c>
      <c r="M40" s="8">
        <f t="shared" si="5"/>
        <v>975948192</v>
      </c>
    </row>
    <row r="41" spans="1:13" ht="31.5" customHeight="1" x14ac:dyDescent="0.2">
      <c r="A41" s="34"/>
      <c r="B41" s="34"/>
      <c r="C41" s="77"/>
      <c r="D41" s="78"/>
      <c r="E41" s="78"/>
      <c r="F41" s="78"/>
      <c r="G41" s="78"/>
      <c r="H41" s="78"/>
      <c r="I41" s="78"/>
      <c r="J41" s="78"/>
      <c r="K41" s="78"/>
      <c r="L41" s="78"/>
      <c r="M41" s="78"/>
    </row>
    <row r="42" spans="1:13" ht="26.25" customHeight="1" x14ac:dyDescent="0.2">
      <c r="A42" s="34"/>
      <c r="B42" s="75"/>
      <c r="C42" s="75"/>
      <c r="D42" s="75"/>
      <c r="E42" s="75"/>
      <c r="F42" s="75"/>
      <c r="G42" s="75"/>
      <c r="H42" s="75"/>
      <c r="I42" s="75"/>
      <c r="J42" s="75"/>
      <c r="K42" s="75"/>
      <c r="L42" s="75"/>
      <c r="M42" s="76"/>
    </row>
    <row r="43" spans="1:13" ht="12.75" customHeight="1" x14ac:dyDescent="0.2">
      <c r="A43" s="38"/>
      <c r="B43" s="75" t="s">
        <v>52</v>
      </c>
      <c r="C43" s="75"/>
      <c r="D43" s="75"/>
      <c r="E43" s="75"/>
      <c r="F43" s="75"/>
      <c r="G43" s="75"/>
      <c r="H43" s="75"/>
      <c r="I43" s="75"/>
      <c r="J43" s="75"/>
      <c r="K43" s="75"/>
      <c r="L43" s="75"/>
      <c r="M43" s="76"/>
    </row>
    <row r="44" spans="1:13" ht="12.75" customHeight="1" x14ac:dyDescent="0.2">
      <c r="A44" s="38"/>
      <c r="B44" s="75"/>
      <c r="C44" s="75"/>
      <c r="D44" s="75"/>
      <c r="E44" s="75"/>
      <c r="F44" s="75"/>
      <c r="G44" s="75"/>
      <c r="H44" s="75"/>
      <c r="I44" s="75"/>
      <c r="J44" s="75"/>
      <c r="K44" s="75"/>
      <c r="L44" s="75"/>
      <c r="M44" s="76"/>
    </row>
    <row r="45" spans="1:13" x14ac:dyDescent="0.2">
      <c r="A45" s="38"/>
      <c r="B45" s="38"/>
      <c r="D45" s="20"/>
      <c r="E45" s="20"/>
    </row>
    <row r="46" spans="1:13" x14ac:dyDescent="0.2">
      <c r="A46" s="38"/>
      <c r="B46" s="38"/>
      <c r="D46" s="20"/>
      <c r="E46" s="20"/>
    </row>
    <row r="47" spans="1:13" x14ac:dyDescent="0.2">
      <c r="A47" s="28"/>
      <c r="B47" s="72"/>
      <c r="C47" s="72"/>
      <c r="D47" s="20"/>
      <c r="E47" s="20"/>
    </row>
    <row r="48" spans="1:13" x14ac:dyDescent="0.2">
      <c r="A48" s="28"/>
      <c r="B48" s="1"/>
      <c r="C48" s="7"/>
      <c r="D48" s="20"/>
      <c r="E48" s="20"/>
    </row>
    <row r="49" spans="1:11" x14ac:dyDescent="0.2">
      <c r="A49" s="39" t="s">
        <v>53</v>
      </c>
      <c r="B49" s="40"/>
      <c r="C49" s="40"/>
      <c r="D49" s="40"/>
      <c r="E49" s="40"/>
      <c r="F49" s="40"/>
      <c r="G49" s="40"/>
      <c r="H49" s="40"/>
      <c r="I49" s="40"/>
      <c r="J49" s="40"/>
      <c r="K49" s="40"/>
    </row>
    <row r="50" spans="1:11" x14ac:dyDescent="0.2">
      <c r="A50" s="41" t="s">
        <v>88</v>
      </c>
      <c r="B50" s="40"/>
      <c r="C50" s="40"/>
      <c r="D50" s="40"/>
      <c r="E50" s="40"/>
      <c r="F50" s="40"/>
      <c r="G50" s="40"/>
      <c r="H50" s="40"/>
      <c r="I50" s="40"/>
      <c r="J50" s="40"/>
      <c r="K50" s="40"/>
    </row>
    <row r="51" spans="1:11" x14ac:dyDescent="0.2">
      <c r="A51" s="40"/>
      <c r="B51" s="40"/>
      <c r="C51" s="40"/>
      <c r="D51" s="40"/>
      <c r="E51" s="40"/>
      <c r="F51" s="40"/>
      <c r="G51" s="40"/>
      <c r="H51" s="40"/>
      <c r="I51" s="40"/>
      <c r="J51" s="40"/>
      <c r="K51" s="40"/>
    </row>
    <row r="52" spans="1:11" x14ac:dyDescent="0.2">
      <c r="A52" s="40" t="s">
        <v>54</v>
      </c>
      <c r="B52" s="40"/>
      <c r="C52" s="40"/>
      <c r="D52" s="40"/>
      <c r="E52" s="40"/>
      <c r="F52" s="40"/>
      <c r="G52" s="40"/>
      <c r="H52" s="40"/>
      <c r="I52" s="40"/>
      <c r="J52" s="40"/>
      <c r="K52" s="40"/>
    </row>
    <row r="53" spans="1:11" x14ac:dyDescent="0.2">
      <c r="A53" s="9" t="s">
        <v>2</v>
      </c>
      <c r="B53" s="42"/>
      <c r="C53" s="42"/>
      <c r="D53" s="24" t="s">
        <v>55</v>
      </c>
      <c r="E53" s="43"/>
      <c r="F53" s="44" t="s">
        <v>56</v>
      </c>
      <c r="G53" s="44" t="s">
        <v>9</v>
      </c>
      <c r="H53" s="45" t="s">
        <v>57</v>
      </c>
      <c r="I53" s="44" t="s">
        <v>56</v>
      </c>
      <c r="J53" s="44" t="s">
        <v>9</v>
      </c>
      <c r="K53" s="45" t="s">
        <v>57</v>
      </c>
    </row>
    <row r="54" spans="1:11" x14ac:dyDescent="0.2">
      <c r="A54" s="46"/>
      <c r="B54" s="46"/>
      <c r="C54" s="46"/>
      <c r="D54" s="13" t="s">
        <v>11</v>
      </c>
      <c r="E54" s="13" t="s">
        <v>12</v>
      </c>
      <c r="F54" s="47" t="s">
        <v>58</v>
      </c>
      <c r="G54" s="47" t="s">
        <v>59</v>
      </c>
      <c r="H54" s="47" t="s">
        <v>60</v>
      </c>
      <c r="I54" s="47" t="s">
        <v>61</v>
      </c>
      <c r="J54" s="47" t="s">
        <v>59</v>
      </c>
      <c r="K54" s="47" t="s">
        <v>60</v>
      </c>
    </row>
    <row r="55" spans="1:11" x14ac:dyDescent="0.2">
      <c r="A55" s="48"/>
      <c r="B55" s="48"/>
      <c r="C55" s="48"/>
      <c r="D55" s="48"/>
      <c r="E55" s="48"/>
      <c r="F55" s="49" t="s">
        <v>62</v>
      </c>
      <c r="G55" s="49" t="s">
        <v>63</v>
      </c>
      <c r="H55" s="49" t="s">
        <v>63</v>
      </c>
      <c r="I55" s="49" t="s">
        <v>3</v>
      </c>
      <c r="J55" s="50" t="s">
        <v>64</v>
      </c>
      <c r="K55" s="50" t="s">
        <v>64</v>
      </c>
    </row>
    <row r="56" spans="1:11" x14ac:dyDescent="0.2">
      <c r="A56" s="46"/>
      <c r="B56" s="46"/>
      <c r="C56" s="46"/>
      <c r="D56" s="51"/>
      <c r="E56" s="51"/>
      <c r="F56" s="52"/>
      <c r="G56" s="52"/>
      <c r="H56" s="52"/>
      <c r="I56" s="52"/>
      <c r="J56" s="19"/>
      <c r="K56" s="19"/>
    </row>
    <row r="57" spans="1:11" x14ac:dyDescent="0.2">
      <c r="A57" s="53" t="s">
        <v>65</v>
      </c>
      <c r="B57" s="54"/>
      <c r="C57" s="54"/>
      <c r="D57" s="55">
        <v>0.99</v>
      </c>
      <c r="E57" s="56">
        <v>3.0000000000000001E-3</v>
      </c>
      <c r="F57" s="57">
        <v>53384069</v>
      </c>
      <c r="G57" s="57">
        <f>52039191+1344878</f>
        <v>53384069</v>
      </c>
      <c r="H57" s="57">
        <f>G57-F57</f>
        <v>0</v>
      </c>
      <c r="I57" s="57">
        <v>53858988</v>
      </c>
      <c r="J57" s="57">
        <v>53864956</v>
      </c>
      <c r="K57" s="57">
        <f>J57-I57</f>
        <v>5968</v>
      </c>
    </row>
    <row r="58" spans="1:11" x14ac:dyDescent="0.2">
      <c r="A58" s="58" t="s">
        <v>66</v>
      </c>
      <c r="B58" s="54"/>
      <c r="C58" s="54"/>
      <c r="D58" s="55">
        <v>0.47</v>
      </c>
      <c r="E58" s="55">
        <v>1.4E-2</v>
      </c>
      <c r="F58" s="57">
        <v>15720223</v>
      </c>
      <c r="G58" s="57">
        <f>410446+10772886+4536891</f>
        <v>15720223</v>
      </c>
      <c r="H58" s="57">
        <f>G58-F58</f>
        <v>0</v>
      </c>
      <c r="I58" s="57">
        <v>33313115</v>
      </c>
      <c r="J58" s="57">
        <v>33755539</v>
      </c>
      <c r="K58" s="57">
        <f>J58-I58</f>
        <v>442424</v>
      </c>
    </row>
    <row r="59" spans="1:11" x14ac:dyDescent="0.2">
      <c r="A59" s="46"/>
      <c r="B59" s="46"/>
      <c r="C59" s="46"/>
      <c r="D59" s="59"/>
      <c r="E59" s="51"/>
      <c r="F59" s="57"/>
      <c r="G59" s="57"/>
      <c r="H59" s="57"/>
      <c r="I59" s="57"/>
      <c r="J59" s="57"/>
      <c r="K59" s="57"/>
    </row>
    <row r="60" spans="1:11" x14ac:dyDescent="0.2">
      <c r="A60" s="40"/>
      <c r="B60" s="40"/>
      <c r="C60" s="40"/>
      <c r="D60" s="60"/>
      <c r="E60" s="60"/>
      <c r="F60" s="61"/>
      <c r="G60" s="61"/>
      <c r="H60" s="61"/>
      <c r="I60" s="61"/>
      <c r="J60" s="61"/>
      <c r="K60" s="61"/>
    </row>
    <row r="61" spans="1:11" x14ac:dyDescent="0.2">
      <c r="A61" s="62" t="s">
        <v>67</v>
      </c>
      <c r="B61" s="40"/>
      <c r="C61" s="40"/>
      <c r="D61" s="60"/>
      <c r="E61" s="60"/>
      <c r="F61" s="61"/>
      <c r="G61" s="61"/>
      <c r="H61" s="61"/>
      <c r="I61" s="61"/>
      <c r="J61" s="61"/>
      <c r="K61" s="61"/>
    </row>
    <row r="62" spans="1:11" x14ac:dyDescent="0.2">
      <c r="A62" s="9" t="s">
        <v>2</v>
      </c>
      <c r="B62" s="42"/>
      <c r="C62" s="42"/>
      <c r="D62" s="24" t="s">
        <v>55</v>
      </c>
      <c r="E62" s="63"/>
      <c r="F62" s="11" t="s">
        <v>84</v>
      </c>
      <c r="G62" s="11" t="s">
        <v>84</v>
      </c>
      <c r="H62" s="10" t="s">
        <v>89</v>
      </c>
      <c r="I62" s="10" t="s">
        <v>68</v>
      </c>
      <c r="J62" s="57"/>
      <c r="K62" s="57"/>
    </row>
    <row r="63" spans="1:11" x14ac:dyDescent="0.2">
      <c r="A63" s="46"/>
      <c r="B63" s="46"/>
      <c r="C63" s="46"/>
      <c r="D63" s="13" t="s">
        <v>11</v>
      </c>
      <c r="E63" s="13" t="s">
        <v>12</v>
      </c>
      <c r="F63" s="12" t="s">
        <v>69</v>
      </c>
      <c r="G63" s="12" t="s">
        <v>69</v>
      </c>
      <c r="H63" s="13" t="s">
        <v>70</v>
      </c>
      <c r="I63" s="13" t="s">
        <v>60</v>
      </c>
      <c r="J63" s="57"/>
      <c r="K63" s="57"/>
    </row>
    <row r="64" spans="1:11" x14ac:dyDescent="0.2">
      <c r="A64" s="46"/>
      <c r="B64" s="46"/>
      <c r="C64" s="46"/>
      <c r="D64" s="51"/>
      <c r="E64" s="51"/>
      <c r="F64" s="12" t="s">
        <v>71</v>
      </c>
      <c r="G64" s="13" t="s">
        <v>72</v>
      </c>
      <c r="H64" s="12" t="s">
        <v>73</v>
      </c>
      <c r="I64" s="13" t="s">
        <v>74</v>
      </c>
      <c r="J64" s="57"/>
      <c r="K64" s="57"/>
    </row>
    <row r="65" spans="1:11" x14ac:dyDescent="0.2">
      <c r="A65" s="48"/>
      <c r="B65" s="48"/>
      <c r="C65" s="48"/>
      <c r="D65" s="64"/>
      <c r="E65" s="64"/>
      <c r="F65" s="18" t="s">
        <v>75</v>
      </c>
      <c r="G65" s="18" t="s">
        <v>76</v>
      </c>
      <c r="H65" s="18" t="s">
        <v>77</v>
      </c>
      <c r="I65" s="18" t="s">
        <v>77</v>
      </c>
      <c r="J65" s="57"/>
      <c r="K65" s="57"/>
    </row>
    <row r="66" spans="1:11" x14ac:dyDescent="0.2">
      <c r="A66" s="46"/>
      <c r="B66" s="46"/>
      <c r="C66" s="40"/>
      <c r="D66" s="60"/>
      <c r="E66" s="60"/>
      <c r="F66" s="61"/>
      <c r="G66" s="61"/>
      <c r="H66" s="61"/>
      <c r="I66" s="61"/>
      <c r="J66" s="61"/>
      <c r="K66" s="61"/>
    </row>
    <row r="67" spans="1:11" x14ac:dyDescent="0.2">
      <c r="A67" s="54" t="s">
        <v>78</v>
      </c>
      <c r="B67" s="46"/>
      <c r="C67" s="46"/>
      <c r="D67" s="55">
        <v>2.09</v>
      </c>
      <c r="E67" s="55">
        <v>1.4999999999999999E-2</v>
      </c>
      <c r="F67" s="57">
        <v>48873879</v>
      </c>
      <c r="G67" s="57">
        <v>26669354</v>
      </c>
      <c r="H67" s="57">
        <v>75791112</v>
      </c>
      <c r="I67" s="57">
        <f>+H67-G67-F67</f>
        <v>247879</v>
      </c>
      <c r="J67" s="57"/>
      <c r="K67" s="57"/>
    </row>
    <row r="68" spans="1:11" x14ac:dyDescent="0.2">
      <c r="A68" s="40"/>
      <c r="B68" s="40"/>
      <c r="C68" s="40"/>
      <c r="D68" s="60"/>
      <c r="E68" s="60"/>
      <c r="F68" s="61"/>
      <c r="G68" s="61"/>
      <c r="H68" s="61"/>
      <c r="I68" s="61"/>
      <c r="J68" s="61"/>
      <c r="K68" s="61"/>
    </row>
    <row r="69" spans="1:11" x14ac:dyDescent="0.2">
      <c r="A69" s="40"/>
      <c r="B69" s="40"/>
      <c r="C69" s="40"/>
      <c r="D69" s="60"/>
      <c r="E69" s="60"/>
      <c r="F69" s="61"/>
      <c r="G69" s="61"/>
      <c r="H69" s="61"/>
      <c r="I69" s="61"/>
      <c r="J69" s="61"/>
      <c r="K69" s="61"/>
    </row>
    <row r="70" spans="1:11" x14ac:dyDescent="0.2">
      <c r="A70" s="40"/>
      <c r="B70" s="40"/>
      <c r="C70" s="40"/>
      <c r="D70" s="40"/>
      <c r="E70" s="40"/>
      <c r="F70" s="40"/>
      <c r="G70" s="40"/>
      <c r="H70" s="40"/>
      <c r="I70" s="40"/>
      <c r="J70" s="40"/>
      <c r="K70" s="40"/>
    </row>
  </sheetData>
  <mergeCells count="8">
    <mergeCell ref="B44:M44"/>
    <mergeCell ref="B47:C47"/>
    <mergeCell ref="D5:E5"/>
    <mergeCell ref="A9:B9"/>
    <mergeCell ref="A14:B14"/>
    <mergeCell ref="C41:M41"/>
    <mergeCell ref="B42:M42"/>
    <mergeCell ref="B43:M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vt:lpstr>
      <vt:lpstr>Jun</vt:lpstr>
      <vt:lpstr>Sept</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2013-12-13T15:31:59Z</dcterms:modified>
</cp:coreProperties>
</file>