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CUMPV" sheetId="1" r:id="rId1"/>
    <sheet name="CMUTUAL" sheetId="2" r:id="rId2"/>
  </sheets>
  <definedNames>
    <definedName name="_xlnm.Print_Area" localSheetId="1">'CMUTUAL'!$A$1:$K$21</definedName>
    <definedName name="_xlnm.Print_Area" localSheetId="0">'CUMPV'!$A$2:$M$41</definedName>
  </definedNames>
  <calcPr fullCalcOnLoad="1"/>
</workbook>
</file>

<file path=xl/sharedStrings.xml><?xml version="1.0" encoding="utf-8"?>
<sst xmlns="http://schemas.openxmlformats.org/spreadsheetml/2006/main" count="112" uniqueCount="82">
  <si>
    <t>CUMPLIMIENTO DE NORMAS</t>
  </si>
  <si>
    <t>SEGUROS DE VIDA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</si>
  <si>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</si>
  <si>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</si>
  <si>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</si>
  <si>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</si>
  <si>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</si>
  <si>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</si>
  <si>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</si>
  <si>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</si>
  <si>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</si>
  <si>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</si>
  <si>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</si>
  <si>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</si>
  <si>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</si>
  <si>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</si>
  <si>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 xml:space="preserve">TOTAL ASEGURADORAS    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</si>
  <si>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</si>
  <si>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</si>
  <si>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</si>
  <si>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</si>
  <si>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</si>
  <si>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</si>
  <si>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</si>
  <si>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 xml:space="preserve">Vida Corp  </t>
  </si>
  <si>
    <t>PAT. RIESGO</t>
  </si>
  <si>
    <t>RES. PREVIS.</t>
  </si>
  <si>
    <t>RES. NO PREVIS.</t>
  </si>
  <si>
    <t>RES. ADIC.</t>
  </si>
  <si>
    <t>INVERSIONES NO</t>
  </si>
  <si>
    <t>BBVA</t>
  </si>
  <si>
    <t xml:space="preserve">Cigna   </t>
  </si>
  <si>
    <t xml:space="preserve">Huelén </t>
  </si>
  <si>
    <t>Banchile</t>
  </si>
  <si>
    <t>TOTAL REASEGURADORAS</t>
  </si>
  <si>
    <t xml:space="preserve">  </t>
  </si>
  <si>
    <t>Altavida</t>
  </si>
  <si>
    <t>CN Life</t>
  </si>
  <si>
    <t xml:space="preserve">Euroamérica </t>
  </si>
  <si>
    <t>Bci</t>
  </si>
  <si>
    <t xml:space="preserve">ING </t>
  </si>
  <si>
    <t>Principal</t>
  </si>
  <si>
    <t xml:space="preserve">Cardif   </t>
  </si>
  <si>
    <t xml:space="preserve"> </t>
  </si>
  <si>
    <t>Penta</t>
  </si>
  <si>
    <t xml:space="preserve">ABN Amro </t>
  </si>
  <si>
    <t xml:space="preserve">Ace </t>
  </si>
  <si>
    <t>(al 30 de septiembre de 2005, montos expresados en miles de pesos)</t>
  </si>
  <si>
    <t>Bice</t>
  </si>
  <si>
    <t>Security Previsión (1)</t>
  </si>
  <si>
    <t xml:space="preserve">Mapfre  </t>
  </si>
  <si>
    <t>Interrentas</t>
  </si>
  <si>
    <t>Metlife</t>
  </si>
  <si>
    <t>Ohio</t>
  </si>
  <si>
    <t>(1)</t>
  </si>
  <si>
    <t xml:space="preserve">La compañía presenta déficit de inversiones representativas de patrimonio de riesgo ascendente a M$ 776.190. De acuerdo a lo señalado por la compañía, dicho déficit se produjo por un exceso de inversión en instrumentos del Banco Estado por sobre el límite de 10% por emisor, respecto del patrimonio de riesgo y de las reservas, situación que ya se encuentra solucionada. </t>
  </si>
  <si>
    <t>MUTUALIDADES</t>
  </si>
  <si>
    <t>VENTAS INSTITUCIONALES EXCLUSIVAMENTE</t>
  </si>
  <si>
    <t xml:space="preserve">             ENDEUDAMIENTO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</si>
  <si>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</si>
  <si>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</si>
  <si>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</si>
  <si>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</si>
  <si>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</si>
  <si>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</si>
  <si>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</si>
  <si>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</si>
  <si>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</si>
  <si>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Mutualidad de Carabineros</t>
  </si>
  <si>
    <t>Mutualidad del Ejército y Aviación</t>
  </si>
  <si>
    <t>VENTAS INSTITUCIONALES Y NO INSTITUCIONALES SIMULTANEAMENTE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</si>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</sst>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\ &quot;$&quot;_);\(#,##0\ &quot;$&quot;\)"/>
    <numFmt numFmtId="201" formatCode="#,##0\ &quot;$&quot;_);[Red]\(#,##0\ &quot;$&quot;\)"/>
    <numFmt numFmtId="202" formatCode="#,##0.00\ &quot;$&quot;_);\(#,##0.00\ &quot;$&quot;\)"/>
    <numFmt numFmtId="203" formatCode="#,##0.00\ &quot;$&quot;_);[Red]\(#,##0.00\ &quot;$&quot;\)"/>
    <numFmt numFmtId="204" formatCode="_ * #,##0_)\ &quot;$&quot;_ ;_ * \(#,##0\)\ &quot;$&quot;_ ;_ * &quot;-&quot;_)\ &quot;$&quot;_ ;_ @_ "/>
    <numFmt numFmtId="205" formatCode="_ * #,##0_)\ _$_ ;_ * \(#,##0\)\ _$_ ;_ * &quot;-&quot;_)\ _$_ ;_ @_ "/>
    <numFmt numFmtId="206" formatCode="_ * #,##0.00_)\ &quot;$&quot;_ ;_ * \(#,##0.00\)\ &quot;$&quot;_ ;_ * &quot;-&quot;??_)\ &quot;$&quot;_ ;_ @_ "/>
    <numFmt numFmtId="207" formatCode="_ * #,##0.00_)\ _$_ ;_ * \(#,##0.00\)\ _$_ ;_ * &quot;-&quot;??_)\ _$_ ;_ @_ "/>
    <numFmt numFmtId="208" formatCode="#,##0&quot; Pts&quot;;\-#,##0&quot; Pts&quot;"/>
    <numFmt numFmtId="209" formatCode="#,##0&quot; Pts&quot;;[Red]\-#,##0&quot; Pts&quot;"/>
    <numFmt numFmtId="210" formatCode="#,##0.00&quot; Pts&quot;;\-#,##0.00&quot; Pts&quot;"/>
    <numFmt numFmtId="211" formatCode="#,##0.00&quot; Pts&quot;;[Red]\-#,##0.00&quot; Pts&quot;"/>
    <numFmt numFmtId="212" formatCode="#,##0.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#,##0.0"/>
    <numFmt numFmtId="219" formatCode="0.000"/>
    <numFmt numFmtId="220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9"/>
      <name val="MS Sans Serif"/>
      <family val="2"/>
    </font>
    <font>
      <sz val="10"/>
      <color indexed="10"/>
      <name val="MS Sans Serif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 horizontal="right"/>
    </xf>
    <xf numFmtId="3" fontId="0" fillId="0" borderId="2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 quotePrefix="1">
      <alignment horizontal="left"/>
    </xf>
    <xf numFmtId="3" fontId="4" fillId="0" borderId="2" xfId="0" applyNumberFormat="1" applyFont="1" applyBorder="1" applyAlignment="1" quotePrefix="1">
      <alignment horizontal="right"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3" fontId="5" fillId="0" borderId="0" xfId="0" applyNumberFormat="1" applyFont="1" applyFill="1" applyAlignment="1" quotePrefix="1">
      <alignment horizontal="left" vertical="top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 quotePrefix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219" fontId="4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left"/>
    </xf>
    <xf numFmtId="219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2" fontId="4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2" fontId="4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 horizontal="left"/>
    </xf>
    <xf numFmtId="3" fontId="4" fillId="0" borderId="3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N64"/>
  <sheetViews>
    <sheetView tabSelected="1" workbookViewId="0" topLeftCell="A1">
      <selection activeCell="A10" sqref="A10:B10"/>
    </sheetView>
  </sheetViews>
  <sheetFormatPr defaultColWidth="11.421875" defaultRowHeight="12.75"/>
  <cols>
    <col min="1" max="1" width="2.57421875" style="1" customWidth="1"/>
    <col min="2" max="2" width="22.421875" style="1" customWidth="1"/>
    <col min="3" max="3" width="12.140625" style="1" bestFit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3.57421875" style="1" customWidth="1"/>
    <col min="11" max="11" width="18.57421875" style="1" bestFit="1" customWidth="1"/>
    <col min="12" max="12" width="15.57421875" style="1" customWidth="1"/>
    <col min="13" max="13" width="13.57421875" style="1" customWidth="1"/>
    <col min="14" max="16384" width="11.421875" style="1" customWidth="1"/>
  </cols>
  <sheetData>
    <row r="2" spans="1:5" ht="12.75">
      <c r="A2" s="34" t="s">
        <v>0</v>
      </c>
      <c r="B2" s="34"/>
      <c r="C2" s="35"/>
      <c r="D2" s="35"/>
      <c r="E2" s="12"/>
    </row>
    <row r="3" spans="1:4" ht="12.75">
      <c r="A3" s="36" t="s">
        <v>1</v>
      </c>
      <c r="B3" s="36"/>
      <c r="C3" s="35"/>
      <c r="D3" s="35"/>
    </row>
    <row r="4" spans="1:13" ht="12.75">
      <c r="A4" s="10" t="s">
        <v>47</v>
      </c>
      <c r="B4" s="36"/>
      <c r="C4" s="35"/>
      <c r="D4" s="35"/>
      <c r="M4" s="8"/>
    </row>
    <row r="5" spans="1:13" ht="12.75">
      <c r="A5" s="9" t="s">
        <v>2</v>
      </c>
      <c r="B5" s="9"/>
      <c r="C5" s="6" t="s">
        <v>3</v>
      </c>
      <c r="D5" s="73" t="s">
        <v>17</v>
      </c>
      <c r="E5" s="73"/>
      <c r="F5" s="6" t="s">
        <v>4</v>
      </c>
      <c r="G5" s="7" t="s">
        <v>5</v>
      </c>
      <c r="H5" s="7" t="s">
        <v>6</v>
      </c>
      <c r="I5" s="6" t="s">
        <v>29</v>
      </c>
      <c r="J5" s="6" t="s">
        <v>7</v>
      </c>
      <c r="K5" s="6" t="s">
        <v>7</v>
      </c>
      <c r="L5" s="6" t="s">
        <v>7</v>
      </c>
      <c r="M5" s="6" t="s">
        <v>7</v>
      </c>
    </row>
    <row r="6" spans="1:13" ht="12.75">
      <c r="A6" s="3"/>
      <c r="B6" s="3"/>
      <c r="C6" s="4" t="s">
        <v>8</v>
      </c>
      <c r="D6" s="5" t="s">
        <v>9</v>
      </c>
      <c r="E6" s="5" t="s">
        <v>10</v>
      </c>
      <c r="F6" s="4" t="s">
        <v>11</v>
      </c>
      <c r="G6" s="2" t="s">
        <v>12</v>
      </c>
      <c r="H6" s="5" t="s">
        <v>13</v>
      </c>
      <c r="I6" s="5" t="s">
        <v>14</v>
      </c>
      <c r="J6" s="5" t="s">
        <v>26</v>
      </c>
      <c r="K6" s="5" t="s">
        <v>27</v>
      </c>
      <c r="L6" s="38" t="s">
        <v>28</v>
      </c>
      <c r="M6" s="11" t="s">
        <v>25</v>
      </c>
    </row>
    <row r="7" spans="1:13" ht="12.75">
      <c r="A7" s="8"/>
      <c r="B7" s="8"/>
      <c r="C7" s="8"/>
      <c r="D7" s="8"/>
      <c r="E7" s="8"/>
      <c r="F7" s="18" t="s">
        <v>15</v>
      </c>
      <c r="G7" s="18" t="s">
        <v>8</v>
      </c>
      <c r="H7" s="18" t="s">
        <v>15</v>
      </c>
      <c r="I7" s="19"/>
      <c r="J7" s="8"/>
      <c r="K7" s="8"/>
      <c r="L7" s="8"/>
      <c r="M7" s="8"/>
    </row>
    <row r="8" spans="1:13" ht="12.75">
      <c r="A8" s="3"/>
      <c r="B8" s="3"/>
      <c r="C8" s="3"/>
      <c r="D8" s="3"/>
      <c r="E8" s="3"/>
      <c r="F8" s="4"/>
      <c r="G8" s="4"/>
      <c r="H8" s="4"/>
      <c r="I8" s="5"/>
      <c r="J8" s="3"/>
      <c r="K8" s="3"/>
      <c r="L8" s="3"/>
      <c r="M8" s="3"/>
    </row>
    <row r="9" spans="1:13" s="14" customFormat="1" ht="12.75">
      <c r="A9" s="74" t="s">
        <v>45</v>
      </c>
      <c r="B9" s="74"/>
      <c r="C9" s="14">
        <v>1976493</v>
      </c>
      <c r="D9" s="16">
        <v>0.96</v>
      </c>
      <c r="E9" s="16">
        <v>0.54</v>
      </c>
      <c r="F9" s="14">
        <v>3726289</v>
      </c>
      <c r="G9" s="14">
        <f>+J9+K9+L9+M9</f>
        <v>4291649</v>
      </c>
      <c r="H9" s="13">
        <f aca="true" t="shared" si="0" ref="H9:H34">G9-F9</f>
        <v>565360</v>
      </c>
      <c r="I9" s="14">
        <v>225935</v>
      </c>
      <c r="J9" s="14">
        <v>0</v>
      </c>
      <c r="K9" s="14">
        <f>+227116+917496+709349</f>
        <v>1853961</v>
      </c>
      <c r="L9" s="14">
        <v>0</v>
      </c>
      <c r="M9" s="14">
        <v>2437688</v>
      </c>
    </row>
    <row r="10" spans="1:13" s="14" customFormat="1" ht="12.75">
      <c r="A10" s="74" t="s">
        <v>46</v>
      </c>
      <c r="B10" s="74"/>
      <c r="C10" s="14">
        <v>1594580</v>
      </c>
      <c r="D10" s="16">
        <v>0.02</v>
      </c>
      <c r="E10" s="16">
        <v>0.02</v>
      </c>
      <c r="F10" s="14">
        <v>1594580</v>
      </c>
      <c r="G10" s="14">
        <f>+J10+K10+L10+M10</f>
        <v>1699307</v>
      </c>
      <c r="H10" s="13">
        <f>G10-F10</f>
        <v>104727</v>
      </c>
      <c r="I10" s="14">
        <v>95289</v>
      </c>
      <c r="J10" s="14">
        <v>0</v>
      </c>
      <c r="K10" s="14">
        <v>0</v>
      </c>
      <c r="L10" s="14">
        <v>0</v>
      </c>
      <c r="M10" s="14">
        <v>1699307</v>
      </c>
    </row>
    <row r="11" spans="1:13" s="13" customFormat="1" ht="12.75">
      <c r="A11" s="15" t="s">
        <v>36</v>
      </c>
      <c r="B11" s="17"/>
      <c r="C11" s="14">
        <v>13037245</v>
      </c>
      <c r="D11" s="16">
        <v>0.98</v>
      </c>
      <c r="E11" s="16">
        <v>0.35</v>
      </c>
      <c r="F11" s="14">
        <v>37323020</v>
      </c>
      <c r="G11" s="13">
        <f aca="true" t="shared" si="1" ref="G11:G34">+J11+K11+L11+M11</f>
        <v>40742861</v>
      </c>
      <c r="H11" s="13">
        <f t="shared" si="0"/>
        <v>3419841</v>
      </c>
      <c r="I11" s="14">
        <v>16574772</v>
      </c>
      <c r="J11" s="14">
        <v>0</v>
      </c>
      <c r="K11" s="14">
        <f>2676342+20693514+929470</f>
        <v>24299326</v>
      </c>
      <c r="L11" s="14">
        <v>50862</v>
      </c>
      <c r="M11" s="14">
        <v>16392673</v>
      </c>
    </row>
    <row r="12" spans="1:13" s="13" customFormat="1" ht="12.75">
      <c r="A12" s="15" t="s">
        <v>33</v>
      </c>
      <c r="B12" s="15"/>
      <c r="C12" s="14">
        <v>3764832</v>
      </c>
      <c r="D12" s="16">
        <v>2.6</v>
      </c>
      <c r="E12" s="16">
        <v>0.69</v>
      </c>
      <c r="F12" s="14">
        <v>14469046</v>
      </c>
      <c r="G12" s="13">
        <f t="shared" si="1"/>
        <v>16091841</v>
      </c>
      <c r="H12" s="13">
        <f t="shared" si="0"/>
        <v>1622795</v>
      </c>
      <c r="I12" s="14">
        <v>998692</v>
      </c>
      <c r="J12" s="14">
        <v>0</v>
      </c>
      <c r="K12" s="14">
        <f>1656742+8677831+11943+396653</f>
        <v>10743169</v>
      </c>
      <c r="L12" s="14">
        <v>0</v>
      </c>
      <c r="M12" s="14">
        <v>5348672</v>
      </c>
    </row>
    <row r="13" spans="1:13" s="14" customFormat="1" ht="12.75">
      <c r="A13" s="15" t="s">
        <v>30</v>
      </c>
      <c r="B13" s="15"/>
      <c r="C13" s="14">
        <v>5681310</v>
      </c>
      <c r="D13" s="16">
        <v>5.73</v>
      </c>
      <c r="E13" s="16">
        <v>0.12</v>
      </c>
      <c r="F13" s="14">
        <v>80649614</v>
      </c>
      <c r="G13" s="14">
        <f>+J13+K13+L13+M13</f>
        <v>88778627</v>
      </c>
      <c r="H13" s="13">
        <f>G13-F13</f>
        <v>8129013</v>
      </c>
      <c r="I13" s="14">
        <v>569808</v>
      </c>
      <c r="J13" s="14">
        <v>71217540</v>
      </c>
      <c r="K13" s="14">
        <f>552230+3198534</f>
        <v>3750764</v>
      </c>
      <c r="L13" s="14">
        <v>0</v>
      </c>
      <c r="M13" s="14">
        <v>13810323</v>
      </c>
    </row>
    <row r="14" spans="1:13" s="14" customFormat="1" ht="12.75">
      <c r="A14" s="15" t="s">
        <v>39</v>
      </c>
      <c r="B14" s="15"/>
      <c r="C14" s="14">
        <v>6665928</v>
      </c>
      <c r="D14" s="16">
        <v>5.13</v>
      </c>
      <c r="E14" s="16">
        <v>0.88</v>
      </c>
      <c r="F14" s="14">
        <v>45445241</v>
      </c>
      <c r="G14" s="13">
        <f>+J14+K14+L14+M14</f>
        <v>48111612</v>
      </c>
      <c r="H14" s="13">
        <f>G14-F14</f>
        <v>2666371</v>
      </c>
      <c r="I14" s="14">
        <v>215875</v>
      </c>
      <c r="J14" s="14">
        <v>21411086</v>
      </c>
      <c r="K14" s="14">
        <f>2059093+7532198+516829+7479102</f>
        <v>17587222</v>
      </c>
      <c r="L14" s="14">
        <v>0</v>
      </c>
      <c r="M14" s="14">
        <v>9113304</v>
      </c>
    </row>
    <row r="15" spans="1:13" s="14" customFormat="1" ht="12.75">
      <c r="A15" s="71" t="s">
        <v>48</v>
      </c>
      <c r="B15" s="72"/>
      <c r="C15" s="14">
        <v>85133987</v>
      </c>
      <c r="D15" s="16">
        <v>3.45</v>
      </c>
      <c r="E15" s="16">
        <v>0.14</v>
      </c>
      <c r="F15" s="14">
        <v>1271632019</v>
      </c>
      <c r="G15" s="14">
        <f>+J15+K15+L15+M15</f>
        <v>1284711859</v>
      </c>
      <c r="H15" s="13">
        <f t="shared" si="0"/>
        <v>13079840</v>
      </c>
      <c r="I15" s="14">
        <v>38684371</v>
      </c>
      <c r="J15" s="14">
        <v>1147162487</v>
      </c>
      <c r="K15" s="14">
        <f>3273452+29315643+0+6031899</f>
        <v>38620994</v>
      </c>
      <c r="L15" s="14">
        <v>306149</v>
      </c>
      <c r="M15" s="14">
        <v>98622229</v>
      </c>
    </row>
    <row r="16" spans="1:13" s="13" customFormat="1" ht="12.75">
      <c r="A16" s="15" t="s">
        <v>42</v>
      </c>
      <c r="B16" s="17"/>
      <c r="C16" s="14">
        <v>4909367</v>
      </c>
      <c r="D16" s="16">
        <v>2.96</v>
      </c>
      <c r="E16" s="16">
        <v>0.74</v>
      </c>
      <c r="F16" s="14">
        <v>19747227</v>
      </c>
      <c r="G16" s="13">
        <f>+J16+K16+L16+M16</f>
        <v>20227703</v>
      </c>
      <c r="H16" s="13">
        <f t="shared" si="0"/>
        <v>480476</v>
      </c>
      <c r="I16" s="14">
        <v>238727</v>
      </c>
      <c r="J16" s="14">
        <v>0</v>
      </c>
      <c r="K16" s="14">
        <f>1537208+13300652</f>
        <v>14837860</v>
      </c>
      <c r="L16" s="14">
        <v>0</v>
      </c>
      <c r="M16" s="14">
        <v>5389843</v>
      </c>
    </row>
    <row r="17" spans="1:13" s="14" customFormat="1" ht="12.75">
      <c r="A17" s="15" t="s">
        <v>19</v>
      </c>
      <c r="B17" s="17"/>
      <c r="C17" s="14">
        <v>39427028</v>
      </c>
      <c r="D17" s="16">
        <v>7.3</v>
      </c>
      <c r="E17" s="16">
        <v>0.38</v>
      </c>
      <c r="F17" s="14">
        <v>618747636</v>
      </c>
      <c r="G17" s="14">
        <f t="shared" si="1"/>
        <v>654561785</v>
      </c>
      <c r="H17" s="13">
        <f t="shared" si="0"/>
        <v>35814149</v>
      </c>
      <c r="I17" s="14">
        <v>3645493</v>
      </c>
      <c r="J17" s="14">
        <v>505109618</v>
      </c>
      <c r="K17" s="14">
        <f>11328231+31021073+6546903+25694853</f>
        <v>74591060</v>
      </c>
      <c r="L17" s="14">
        <v>479461</v>
      </c>
      <c r="M17" s="14">
        <v>74381646</v>
      </c>
    </row>
    <row r="18" spans="1:13" s="22" customFormat="1" ht="12.75">
      <c r="A18" s="15" t="s">
        <v>31</v>
      </c>
      <c r="B18" s="15"/>
      <c r="C18" s="13">
        <v>7470746</v>
      </c>
      <c r="D18" s="21">
        <v>4.82</v>
      </c>
      <c r="E18" s="21">
        <v>0.11</v>
      </c>
      <c r="F18" s="13">
        <v>96387171</v>
      </c>
      <c r="G18" s="13">
        <f t="shared" si="1"/>
        <v>107861212</v>
      </c>
      <c r="H18" s="13">
        <f t="shared" si="0"/>
        <v>11474041</v>
      </c>
      <c r="I18" s="13">
        <v>149459</v>
      </c>
      <c r="J18" s="13">
        <v>97005742</v>
      </c>
      <c r="K18" s="13">
        <f>1409734+946253+1028737</f>
        <v>3384724</v>
      </c>
      <c r="L18" s="13">
        <v>0</v>
      </c>
      <c r="M18" s="13">
        <v>7470746</v>
      </c>
    </row>
    <row r="19" spans="1:13" s="14" customFormat="1" ht="12.75">
      <c r="A19" s="15" t="s">
        <v>37</v>
      </c>
      <c r="B19" s="17"/>
      <c r="C19" s="14">
        <v>18110760</v>
      </c>
      <c r="D19" s="16">
        <v>5.39</v>
      </c>
      <c r="E19" s="16">
        <v>0.28</v>
      </c>
      <c r="F19" s="14">
        <v>293060600</v>
      </c>
      <c r="G19" s="14">
        <f>+J19+K19+L19+M19</f>
        <v>328021397</v>
      </c>
      <c r="H19" s="13">
        <f t="shared" si="0"/>
        <v>34960797</v>
      </c>
      <c r="I19" s="14">
        <v>253192</v>
      </c>
      <c r="J19" s="14">
        <v>273198471</v>
      </c>
      <c r="K19" s="14">
        <f>27474+1723895</f>
        <v>1751369</v>
      </c>
      <c r="L19" s="14">
        <v>0</v>
      </c>
      <c r="M19" s="14">
        <v>53071557</v>
      </c>
    </row>
    <row r="20" spans="1:13" s="14" customFormat="1" ht="12.75">
      <c r="A20" s="15" t="s">
        <v>20</v>
      </c>
      <c r="B20" s="15"/>
      <c r="C20" s="14">
        <v>121972592</v>
      </c>
      <c r="D20" s="16">
        <v>6.74</v>
      </c>
      <c r="E20" s="16">
        <v>0.51</v>
      </c>
      <c r="F20" s="14">
        <v>1663942814</v>
      </c>
      <c r="G20" s="14">
        <f t="shared" si="1"/>
        <v>1769622221</v>
      </c>
      <c r="H20" s="13">
        <f t="shared" si="0"/>
        <v>105679407</v>
      </c>
      <c r="I20" s="14">
        <v>22558663</v>
      </c>
      <c r="J20" s="14">
        <v>1424656770</v>
      </c>
      <c r="K20" s="14">
        <f>1807241+43413633+17955943+46834472</f>
        <v>110011289</v>
      </c>
      <c r="L20" s="14">
        <v>432131</v>
      </c>
      <c r="M20" s="14">
        <v>234522031</v>
      </c>
    </row>
    <row r="21" spans="1:13" s="14" customFormat="1" ht="12.75">
      <c r="A21" s="15" t="s">
        <v>21</v>
      </c>
      <c r="B21" s="15"/>
      <c r="C21" s="14">
        <v>20753563</v>
      </c>
      <c r="D21" s="16">
        <v>6.39</v>
      </c>
      <c r="E21" s="16">
        <v>0.19</v>
      </c>
      <c r="F21" s="14">
        <v>282052701</v>
      </c>
      <c r="G21" s="14">
        <f t="shared" si="1"/>
        <v>298050122</v>
      </c>
      <c r="H21" s="13">
        <f t="shared" si="0"/>
        <v>15997421</v>
      </c>
      <c r="I21" s="14">
        <v>8657259</v>
      </c>
      <c r="J21" s="14">
        <v>235766784</v>
      </c>
      <c r="K21" s="14">
        <f>2245152+9546618+4200757+13386070</f>
        <v>29378597</v>
      </c>
      <c r="L21" s="14">
        <v>130897</v>
      </c>
      <c r="M21" s="14">
        <v>32773844</v>
      </c>
    </row>
    <row r="22" spans="1:13" s="14" customFormat="1" ht="12.75">
      <c r="A22" s="15" t="s">
        <v>38</v>
      </c>
      <c r="B22" s="15"/>
      <c r="C22" s="14">
        <v>22389263</v>
      </c>
      <c r="D22" s="16">
        <v>10.11</v>
      </c>
      <c r="E22" s="16">
        <v>0.62</v>
      </c>
      <c r="F22" s="14">
        <v>365378047</v>
      </c>
      <c r="G22" s="14">
        <f t="shared" si="1"/>
        <v>369421582</v>
      </c>
      <c r="H22" s="13">
        <f t="shared" si="0"/>
        <v>4043535</v>
      </c>
      <c r="I22" s="14">
        <v>1907851</v>
      </c>
      <c r="J22" s="14">
        <v>284636876</v>
      </c>
      <c r="K22" s="14">
        <f>2442496+13246263+20461873+25924081</f>
        <v>62074713</v>
      </c>
      <c r="L22" s="14">
        <v>176225</v>
      </c>
      <c r="M22" s="14">
        <v>22533768</v>
      </c>
    </row>
    <row r="23" spans="1:13" s="14" customFormat="1" ht="12.75">
      <c r="A23" s="15" t="s">
        <v>32</v>
      </c>
      <c r="B23" s="15"/>
      <c r="C23" s="14">
        <v>1594580</v>
      </c>
      <c r="D23" s="16">
        <v>1.15</v>
      </c>
      <c r="E23" s="16">
        <v>0.06</v>
      </c>
      <c r="F23" s="14">
        <v>4573411</v>
      </c>
      <c r="G23" s="14">
        <f t="shared" si="1"/>
        <v>5586457</v>
      </c>
      <c r="H23" s="13">
        <f t="shared" si="0"/>
        <v>1013046</v>
      </c>
      <c r="I23" s="14">
        <v>162304</v>
      </c>
      <c r="J23" s="14">
        <v>0</v>
      </c>
      <c r="K23" s="14">
        <f>262936+2715895</f>
        <v>2978831</v>
      </c>
      <c r="L23" s="14">
        <v>0</v>
      </c>
      <c r="M23" s="14">
        <v>2607626</v>
      </c>
    </row>
    <row r="24" spans="1:13" s="23" customFormat="1" ht="12.75">
      <c r="A24" s="15" t="s">
        <v>40</v>
      </c>
      <c r="B24" s="15"/>
      <c r="C24" s="14">
        <v>90386754</v>
      </c>
      <c r="D24" s="16">
        <v>10.4</v>
      </c>
      <c r="E24" s="16">
        <v>0.22</v>
      </c>
      <c r="F24" s="14">
        <v>1427861068</v>
      </c>
      <c r="G24" s="13">
        <f t="shared" si="1"/>
        <v>1434351932</v>
      </c>
      <c r="H24" s="13">
        <f t="shared" si="0"/>
        <v>6490864</v>
      </c>
      <c r="I24" s="14">
        <v>26839650</v>
      </c>
      <c r="J24" s="14">
        <v>1227055265</v>
      </c>
      <c r="K24" s="14">
        <f>4532776+52800413+10106096+33859250</f>
        <v>101298535</v>
      </c>
      <c r="L24" s="14">
        <v>261971</v>
      </c>
      <c r="M24" s="14">
        <v>105736161</v>
      </c>
    </row>
    <row r="25" spans="1:13" s="23" customFormat="1" ht="12.75">
      <c r="A25" s="15" t="s">
        <v>22</v>
      </c>
      <c r="B25" s="15"/>
      <c r="C25" s="14">
        <v>16796544</v>
      </c>
      <c r="D25" s="16">
        <v>3.13</v>
      </c>
      <c r="E25" s="16">
        <v>0.5</v>
      </c>
      <c r="F25" s="14">
        <v>136047537</v>
      </c>
      <c r="G25" s="13">
        <f t="shared" si="1"/>
        <v>146770780</v>
      </c>
      <c r="H25" s="13">
        <f>G25-F25</f>
        <v>10723243</v>
      </c>
      <c r="I25" s="14">
        <v>9540712</v>
      </c>
      <c r="J25" s="14">
        <v>42325958</v>
      </c>
      <c r="K25" s="14">
        <f>4212611+45680990+486257+37268420</f>
        <v>87648278</v>
      </c>
      <c r="L25" s="14">
        <v>0</v>
      </c>
      <c r="M25" s="14">
        <v>16796544</v>
      </c>
    </row>
    <row r="26" spans="1:13" s="14" customFormat="1" ht="12.75">
      <c r="A26" s="15" t="s">
        <v>51</v>
      </c>
      <c r="B26" s="17"/>
      <c r="C26" s="14">
        <v>32115588</v>
      </c>
      <c r="D26" s="16">
        <v>10.79</v>
      </c>
      <c r="E26" s="16">
        <v>0.04</v>
      </c>
      <c r="F26" s="14">
        <v>512215246</v>
      </c>
      <c r="G26" s="14">
        <f t="shared" si="1"/>
        <v>523075782</v>
      </c>
      <c r="H26" s="13">
        <f>G26-F26</f>
        <v>10860536</v>
      </c>
      <c r="I26" s="14">
        <v>95858</v>
      </c>
      <c r="J26" s="14">
        <v>443553674</v>
      </c>
      <c r="K26" s="14">
        <f>36545984+0</f>
        <v>36545984</v>
      </c>
      <c r="L26" s="14">
        <v>0</v>
      </c>
      <c r="M26" s="14">
        <v>42976124</v>
      </c>
    </row>
    <row r="27" spans="1:13" s="13" customFormat="1" ht="12.75">
      <c r="A27" s="15" t="s">
        <v>50</v>
      </c>
      <c r="B27" s="15"/>
      <c r="C27" s="14">
        <v>1594580</v>
      </c>
      <c r="D27" s="16">
        <v>5.17</v>
      </c>
      <c r="E27" s="16">
        <v>0.24</v>
      </c>
      <c r="F27" s="14">
        <v>19498847</v>
      </c>
      <c r="G27" s="13">
        <f aca="true" t="shared" si="2" ref="G27:G33">+J27+K27+L27+M27</f>
        <v>21193984</v>
      </c>
      <c r="H27" s="13">
        <f aca="true" t="shared" si="3" ref="H27:H33">G27-F27</f>
        <v>1695137</v>
      </c>
      <c r="I27" s="14">
        <v>26837</v>
      </c>
      <c r="J27" s="14">
        <v>16820475</v>
      </c>
      <c r="K27" s="14">
        <f>138199+697186+251250</f>
        <v>1086635</v>
      </c>
      <c r="L27" s="14">
        <v>0</v>
      </c>
      <c r="M27" s="14">
        <v>3286874</v>
      </c>
    </row>
    <row r="28" spans="1:13" s="13" customFormat="1" ht="12.75">
      <c r="A28" s="15" t="s">
        <v>52</v>
      </c>
      <c r="B28" s="15"/>
      <c r="C28" s="14">
        <v>72101848</v>
      </c>
      <c r="D28" s="16">
        <v>9.31</v>
      </c>
      <c r="E28" s="16">
        <v>0.28</v>
      </c>
      <c r="F28" s="14">
        <v>1087215804</v>
      </c>
      <c r="G28" s="13">
        <f t="shared" si="2"/>
        <v>1091939278</v>
      </c>
      <c r="H28" s="13">
        <f t="shared" si="3"/>
        <v>4723474</v>
      </c>
      <c r="I28" s="14">
        <v>8060968</v>
      </c>
      <c r="J28" s="14">
        <v>971439172</v>
      </c>
      <c r="K28" s="14">
        <f>7311557+12605201+838391+22262838</f>
        <v>43017987</v>
      </c>
      <c r="L28" s="14">
        <v>126666</v>
      </c>
      <c r="M28" s="14">
        <v>77355453</v>
      </c>
    </row>
    <row r="29" spans="1:13" s="14" customFormat="1" ht="12.75">
      <c r="A29" s="15" t="s">
        <v>53</v>
      </c>
      <c r="B29" s="15"/>
      <c r="C29" s="14">
        <v>18487317</v>
      </c>
      <c r="D29" s="16">
        <v>11.51</v>
      </c>
      <c r="E29" s="16">
        <v>0.04</v>
      </c>
      <c r="F29" s="14">
        <v>308401157</v>
      </c>
      <c r="G29" s="14">
        <f t="shared" si="2"/>
        <v>311884818</v>
      </c>
      <c r="H29" s="13">
        <f t="shared" si="3"/>
        <v>3483661</v>
      </c>
      <c r="I29" s="14">
        <v>159247</v>
      </c>
      <c r="J29" s="14">
        <v>286404539</v>
      </c>
      <c r="K29" s="14">
        <f>247990+3259386+1925</f>
        <v>3509301</v>
      </c>
      <c r="L29" s="14">
        <v>0</v>
      </c>
      <c r="M29" s="14">
        <v>21970978</v>
      </c>
    </row>
    <row r="30" spans="1:13" s="13" customFormat="1" ht="12.75">
      <c r="A30" s="15" t="s">
        <v>44</v>
      </c>
      <c r="B30" s="17"/>
      <c r="C30" s="14">
        <v>33574017</v>
      </c>
      <c r="D30" s="16">
        <v>8.67</v>
      </c>
      <c r="E30" s="16">
        <v>0.21</v>
      </c>
      <c r="F30" s="14">
        <v>555256138</v>
      </c>
      <c r="G30" s="13">
        <f>+J30+K30+L30+M30</f>
        <v>571516533</v>
      </c>
      <c r="H30" s="13">
        <f>G30-F30</f>
        <v>16260395</v>
      </c>
      <c r="I30" s="14">
        <v>5403790</v>
      </c>
      <c r="J30" s="14">
        <v>508608760</v>
      </c>
      <c r="K30" s="14">
        <f>351850+1857623+12209379++0</f>
        <v>14418852</v>
      </c>
      <c r="L30" s="14">
        <v>157170</v>
      </c>
      <c r="M30" s="14">
        <v>48331751</v>
      </c>
    </row>
    <row r="31" spans="1:13" s="13" customFormat="1" ht="12.75">
      <c r="A31" s="15" t="s">
        <v>41</v>
      </c>
      <c r="B31" s="17"/>
      <c r="C31" s="14">
        <v>62739363</v>
      </c>
      <c r="D31" s="16">
        <v>12.82</v>
      </c>
      <c r="E31" s="16">
        <v>0.29</v>
      </c>
      <c r="F31" s="14">
        <v>1034877150</v>
      </c>
      <c r="G31" s="13">
        <f t="shared" si="2"/>
        <v>1043670322</v>
      </c>
      <c r="H31" s="13">
        <f t="shared" si="3"/>
        <v>8793172</v>
      </c>
      <c r="I31" s="14">
        <v>7868995</v>
      </c>
      <c r="J31" s="14">
        <v>962784889</v>
      </c>
      <c r="K31" s="14">
        <f>1096854+4941197+1537123+2061679</f>
        <v>9636853</v>
      </c>
      <c r="L31" s="14">
        <v>0</v>
      </c>
      <c r="M31" s="14">
        <v>71248580</v>
      </c>
    </row>
    <row r="32" spans="1:13" s="14" customFormat="1" ht="12.75">
      <c r="A32" s="15" t="s">
        <v>23</v>
      </c>
      <c r="B32" s="15"/>
      <c r="C32" s="14">
        <v>16356285</v>
      </c>
      <c r="D32" s="16">
        <v>8.8</v>
      </c>
      <c r="E32" s="16">
        <v>0.19</v>
      </c>
      <c r="F32" s="14">
        <v>272415361</v>
      </c>
      <c r="G32" s="14">
        <f t="shared" si="2"/>
        <v>274503864</v>
      </c>
      <c r="H32" s="13">
        <f t="shared" si="3"/>
        <v>2088503</v>
      </c>
      <c r="I32" s="14">
        <v>12213067</v>
      </c>
      <c r="J32" s="14">
        <v>255011679</v>
      </c>
      <c r="K32" s="14">
        <f>636906+171393+244911</f>
        <v>1053210</v>
      </c>
      <c r="L32" s="14">
        <v>1506</v>
      </c>
      <c r="M32" s="14">
        <v>18437469</v>
      </c>
    </row>
    <row r="33" spans="1:13" s="13" customFormat="1" ht="12.75">
      <c r="A33" s="15" t="s">
        <v>49</v>
      </c>
      <c r="B33" s="15"/>
      <c r="C33" s="14">
        <v>6099825</v>
      </c>
      <c r="D33" s="16">
        <v>7.01</v>
      </c>
      <c r="E33" s="16">
        <v>0.68</v>
      </c>
      <c r="F33" s="14">
        <v>61528821</v>
      </c>
      <c r="G33" s="14">
        <f t="shared" si="2"/>
        <v>60752631</v>
      </c>
      <c r="H33" s="13">
        <f t="shared" si="3"/>
        <v>-776190</v>
      </c>
      <c r="I33" s="14">
        <v>2863897</v>
      </c>
      <c r="J33" s="14">
        <v>38047129</v>
      </c>
      <c r="K33" s="14">
        <f>1561405+3715760+8049654+4206331</f>
        <v>17533150</v>
      </c>
      <c r="L33" s="14">
        <v>574557</v>
      </c>
      <c r="M33" s="14">
        <v>4597795</v>
      </c>
    </row>
    <row r="34" spans="1:13" s="14" customFormat="1" ht="12.75">
      <c r="A34" s="15" t="s">
        <v>24</v>
      </c>
      <c r="B34" s="15"/>
      <c r="C34" s="14">
        <v>53925121</v>
      </c>
      <c r="D34" s="16">
        <v>9.03</v>
      </c>
      <c r="E34" s="16">
        <v>0.16</v>
      </c>
      <c r="F34" s="14">
        <v>840011658</v>
      </c>
      <c r="G34" s="13">
        <f t="shared" si="1"/>
        <v>861882016</v>
      </c>
      <c r="H34" s="13">
        <f t="shared" si="0"/>
        <v>21870358</v>
      </c>
      <c r="I34" s="14">
        <v>4157347</v>
      </c>
      <c r="J34" s="14">
        <v>766615503</v>
      </c>
      <c r="K34" s="14">
        <f>623642+7428557+5286669+6909037</f>
        <v>20247905</v>
      </c>
      <c r="L34" s="14">
        <v>0</v>
      </c>
      <c r="M34" s="14">
        <v>75018608</v>
      </c>
    </row>
    <row r="35" spans="1:13" s="14" customFormat="1" ht="12.75">
      <c r="A35" s="24" t="s">
        <v>16</v>
      </c>
      <c r="B35" s="24"/>
      <c r="C35" s="25">
        <f>SUM(C9:C34)</f>
        <v>758659516</v>
      </c>
      <c r="D35" s="26"/>
      <c r="E35" s="26"/>
      <c r="F35" s="25">
        <f aca="true" t="shared" si="4" ref="F35:M35">SUM(F9:F34)</f>
        <v>11054058203</v>
      </c>
      <c r="G35" s="25">
        <f t="shared" si="4"/>
        <v>11379322175</v>
      </c>
      <c r="H35" s="25">
        <f t="shared" si="4"/>
        <v>325263972</v>
      </c>
      <c r="I35" s="25">
        <f t="shared" si="4"/>
        <v>172168058</v>
      </c>
      <c r="J35" s="25">
        <f t="shared" si="4"/>
        <v>9578832417</v>
      </c>
      <c r="K35" s="25">
        <f t="shared" si="4"/>
        <v>731860569</v>
      </c>
      <c r="L35" s="25">
        <f t="shared" si="4"/>
        <v>2697595</v>
      </c>
      <c r="M35" s="25">
        <f t="shared" si="4"/>
        <v>1065931594</v>
      </c>
    </row>
    <row r="36" spans="1:13" s="14" customFormat="1" ht="12.75">
      <c r="A36" s="27"/>
      <c r="B36" s="27"/>
      <c r="D36" s="16"/>
      <c r="E36" s="16"/>
      <c r="M36" s="20"/>
    </row>
    <row r="37" spans="1:13" s="13" customFormat="1" ht="12.75">
      <c r="A37" s="15" t="s">
        <v>18</v>
      </c>
      <c r="B37" s="17"/>
      <c r="C37" s="14">
        <v>2611243</v>
      </c>
      <c r="D37" s="16">
        <v>2.26</v>
      </c>
      <c r="E37" s="16">
        <v>0.09</v>
      </c>
      <c r="F37" s="14">
        <v>42648784</v>
      </c>
      <c r="G37" s="14">
        <f>+J37+K37+L37+M37</f>
        <v>47283057</v>
      </c>
      <c r="H37" s="13">
        <f>G37-F37</f>
        <v>4634273</v>
      </c>
      <c r="I37" s="14">
        <v>10554602</v>
      </c>
      <c r="J37" s="14">
        <v>39940096</v>
      </c>
      <c r="K37" s="14">
        <f>79850+17595</f>
        <v>97445</v>
      </c>
      <c r="L37" s="14">
        <v>0</v>
      </c>
      <c r="M37" s="14">
        <v>7245516</v>
      </c>
    </row>
    <row r="38" spans="1:14" s="14" customFormat="1" ht="12.75">
      <c r="A38" s="28" t="s">
        <v>34</v>
      </c>
      <c r="B38" s="28"/>
      <c r="C38" s="25">
        <f aca="true" t="shared" si="5" ref="C38:H38">SUM(C37:C37)</f>
        <v>2611243</v>
      </c>
      <c r="D38" s="26"/>
      <c r="E38" s="26"/>
      <c r="F38" s="25">
        <f t="shared" si="5"/>
        <v>42648784</v>
      </c>
      <c r="G38" s="25">
        <f t="shared" si="5"/>
        <v>47283057</v>
      </c>
      <c r="H38" s="25">
        <f t="shared" si="5"/>
        <v>4634273</v>
      </c>
      <c r="I38" s="25">
        <f>SUM(I37:I37)</f>
        <v>10554602</v>
      </c>
      <c r="J38" s="25">
        <f>SUM(J37:J37)</f>
        <v>39940096</v>
      </c>
      <c r="K38" s="25">
        <f>SUM(K37:K37)</f>
        <v>97445</v>
      </c>
      <c r="L38" s="25">
        <f>SUM(L37:L37)</f>
        <v>0</v>
      </c>
      <c r="M38" s="25">
        <f>SUM(M37:M37)</f>
        <v>7245516</v>
      </c>
      <c r="N38" s="29"/>
    </row>
    <row r="39" spans="4:13" s="14" customFormat="1" ht="12.75">
      <c r="D39" s="16"/>
      <c r="E39" s="16"/>
      <c r="I39" s="13"/>
      <c r="J39" s="13"/>
      <c r="K39" s="13"/>
      <c r="M39" s="20"/>
    </row>
    <row r="40" spans="1:13" s="14" customFormat="1" ht="12.75">
      <c r="A40" s="30" t="s">
        <v>9</v>
      </c>
      <c r="B40" s="30"/>
      <c r="C40" s="31">
        <f>C35+C38</f>
        <v>761270759</v>
      </c>
      <c r="D40" s="32"/>
      <c r="E40" s="32"/>
      <c r="F40" s="31">
        <f aca="true" t="shared" si="6" ref="F40:M40">F35+F38</f>
        <v>11096706987</v>
      </c>
      <c r="G40" s="31">
        <f t="shared" si="6"/>
        <v>11426605232</v>
      </c>
      <c r="H40" s="31">
        <f t="shared" si="6"/>
        <v>329898245</v>
      </c>
      <c r="I40" s="31">
        <f t="shared" si="6"/>
        <v>182722660</v>
      </c>
      <c r="J40" s="33">
        <f t="shared" si="6"/>
        <v>9618772513</v>
      </c>
      <c r="K40" s="33">
        <f t="shared" si="6"/>
        <v>731958014</v>
      </c>
      <c r="L40" s="31">
        <f t="shared" si="6"/>
        <v>2697595</v>
      </c>
      <c r="M40" s="31">
        <f t="shared" si="6"/>
        <v>1073177110</v>
      </c>
    </row>
    <row r="41" spans="1:13" s="14" customFormat="1" ht="26.25" customHeight="1">
      <c r="A41" s="37" t="s">
        <v>54</v>
      </c>
      <c r="B41" s="75" t="s">
        <v>55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</row>
    <row r="42" spans="1:5" s="14" customFormat="1" ht="12.75">
      <c r="A42" s="20"/>
      <c r="B42" s="15" t="s">
        <v>43</v>
      </c>
      <c r="C42" s="15"/>
      <c r="D42" s="16"/>
      <c r="E42" s="16"/>
    </row>
    <row r="43" spans="1:5" s="14" customFormat="1" ht="12.75">
      <c r="A43" s="20"/>
      <c r="B43" s="15"/>
      <c r="C43" s="15"/>
      <c r="D43" s="16"/>
      <c r="E43" s="16"/>
    </row>
    <row r="44" spans="1:5" s="14" customFormat="1" ht="12.75">
      <c r="A44" s="20"/>
      <c r="B44" s="15"/>
      <c r="C44" s="15"/>
      <c r="D44" s="16"/>
      <c r="E44" s="16"/>
    </row>
    <row r="45" spans="1:5" s="14" customFormat="1" ht="12.75">
      <c r="A45" s="20"/>
      <c r="B45" s="15"/>
      <c r="C45" s="15"/>
      <c r="D45" s="16"/>
      <c r="E45" s="16"/>
    </row>
    <row r="46" spans="1:5" s="14" customFormat="1" ht="12.75">
      <c r="A46" s="20"/>
      <c r="B46" s="15"/>
      <c r="C46" s="15"/>
      <c r="D46" s="16"/>
      <c r="E46" s="16"/>
    </row>
    <row r="47" spans="1:5" s="14" customFormat="1" ht="12.75">
      <c r="A47" s="20"/>
      <c r="B47" s="15"/>
      <c r="C47" s="15"/>
      <c r="D47" s="16"/>
      <c r="E47" s="16"/>
    </row>
    <row r="48" spans="1:5" s="14" customFormat="1" ht="12.75">
      <c r="A48" s="20"/>
      <c r="B48" s="15"/>
      <c r="C48" s="15"/>
      <c r="D48" s="16"/>
      <c r="E48" s="16"/>
    </row>
    <row r="49" spans="1:6" s="14" customFormat="1" ht="12.75">
      <c r="A49" s="20"/>
      <c r="B49" s="15"/>
      <c r="C49" s="15"/>
      <c r="D49" s="16"/>
      <c r="E49" s="16"/>
      <c r="F49" s="14" t="s">
        <v>35</v>
      </c>
    </row>
    <row r="50" spans="2:5" s="14" customFormat="1" ht="12.75">
      <c r="B50" s="15"/>
      <c r="C50" s="15"/>
      <c r="D50" s="16"/>
      <c r="E50" s="16"/>
    </row>
    <row r="51" spans="2:5" s="14" customFormat="1" ht="12.75">
      <c r="B51" s="17"/>
      <c r="C51" s="17"/>
      <c r="D51" s="16"/>
      <c r="E51" s="16"/>
    </row>
    <row r="52" spans="4:5" s="14" customFormat="1" ht="12.75">
      <c r="D52" s="16"/>
      <c r="E52" s="16"/>
    </row>
    <row r="53" spans="4:5" s="14" customFormat="1" ht="12.75">
      <c r="D53" s="16"/>
      <c r="E53" s="16"/>
    </row>
    <row r="54" spans="4:5" s="14" customFormat="1" ht="12.75">
      <c r="D54" s="16"/>
      <c r="E54" s="16"/>
    </row>
    <row r="55" spans="4:5" s="14" customFormat="1" ht="12.75">
      <c r="D55" s="16"/>
      <c r="E55" s="16"/>
    </row>
    <row r="56" spans="4:5" s="14" customFormat="1" ht="12.75">
      <c r="D56" s="16"/>
      <c r="E56" s="16"/>
    </row>
    <row r="57" spans="4:5" s="14" customFormat="1" ht="12.75">
      <c r="D57" s="16"/>
      <c r="E57" s="16"/>
    </row>
    <row r="58" spans="4:5" s="14" customFormat="1" ht="12.75">
      <c r="D58" s="16"/>
      <c r="E58" s="16"/>
    </row>
    <row r="59" spans="4:5" s="14" customFormat="1" ht="12.75">
      <c r="D59" s="16"/>
      <c r="E59" s="16"/>
    </row>
    <row r="60" spans="4:5" s="14" customFormat="1" ht="12.75">
      <c r="D60" s="16"/>
      <c r="E60" s="16"/>
    </row>
    <row r="61" spans="4:5" s="14" customFormat="1" ht="12.75">
      <c r="D61" s="16"/>
      <c r="E61" s="16"/>
    </row>
    <row r="62" spans="4:5" s="14" customFormat="1" ht="12.75">
      <c r="D62" s="16"/>
      <c r="E62" s="16"/>
    </row>
    <row r="63" spans="4:5" s="14" customFormat="1" ht="12.75">
      <c r="D63" s="16"/>
      <c r="E63" s="16"/>
    </row>
    <row r="64" spans="4:5" s="14" customFormat="1" ht="12.75">
      <c r="D64" s="16"/>
      <c r="E64" s="16"/>
    </row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</sheetData>
  <mergeCells count="5">
    <mergeCell ref="A15:B15"/>
    <mergeCell ref="D5:E5"/>
    <mergeCell ref="A9:B9"/>
    <mergeCell ref="B41:M41"/>
    <mergeCell ref="A10:B10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42"/>
  <sheetViews>
    <sheetView workbookViewId="0" topLeftCell="A1">
      <selection activeCell="A13" sqref="A13"/>
    </sheetView>
  </sheetViews>
  <sheetFormatPr defaultColWidth="11.421875" defaultRowHeight="12.75"/>
  <cols>
    <col min="1" max="1" width="11.851562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ht="12.75">
      <c r="A1" s="40"/>
    </row>
    <row r="2" ht="12.75">
      <c r="A2" s="34" t="s">
        <v>0</v>
      </c>
    </row>
    <row r="3" spans="1:11" ht="12.75">
      <c r="A3" s="41" t="s">
        <v>56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2.75">
      <c r="A4" s="43" t="s">
        <v>47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44" customFormat="1" ht="12.75">
      <c r="A6" s="42" t="s">
        <v>57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2.75">
      <c r="A7" s="9" t="s">
        <v>2</v>
      </c>
      <c r="B7" s="45"/>
      <c r="C7" s="45"/>
      <c r="D7" s="46" t="s">
        <v>58</v>
      </c>
      <c r="E7" s="47"/>
      <c r="F7" s="48" t="s">
        <v>59</v>
      </c>
      <c r="G7" s="48" t="s">
        <v>7</v>
      </c>
      <c r="H7" s="49" t="s">
        <v>60</v>
      </c>
      <c r="I7" s="48" t="s">
        <v>59</v>
      </c>
      <c r="J7" s="48" t="s">
        <v>7</v>
      </c>
      <c r="K7" s="49" t="s">
        <v>60</v>
      </c>
    </row>
    <row r="8" spans="1:11" ht="12.75">
      <c r="A8" s="50"/>
      <c r="B8" s="50"/>
      <c r="C8" s="50"/>
      <c r="D8" s="5" t="s">
        <v>9</v>
      </c>
      <c r="E8" s="5" t="s">
        <v>10</v>
      </c>
      <c r="F8" s="51" t="s">
        <v>61</v>
      </c>
      <c r="G8" s="51" t="s">
        <v>62</v>
      </c>
      <c r="H8" s="51" t="s">
        <v>63</v>
      </c>
      <c r="I8" s="51" t="s">
        <v>64</v>
      </c>
      <c r="J8" s="51" t="s">
        <v>62</v>
      </c>
      <c r="K8" s="51" t="s">
        <v>63</v>
      </c>
    </row>
    <row r="9" spans="1:11" ht="12.75">
      <c r="A9" s="52"/>
      <c r="B9" s="52"/>
      <c r="C9" s="52"/>
      <c r="D9" s="52"/>
      <c r="E9" s="52"/>
      <c r="F9" s="53" t="s">
        <v>65</v>
      </c>
      <c r="G9" s="53" t="s">
        <v>66</v>
      </c>
      <c r="H9" s="53" t="s">
        <v>66</v>
      </c>
      <c r="I9" s="53" t="s">
        <v>3</v>
      </c>
      <c r="J9" s="54" t="s">
        <v>67</v>
      </c>
      <c r="K9" s="54" t="s">
        <v>67</v>
      </c>
    </row>
    <row r="10" spans="1:11" ht="12.75">
      <c r="A10" s="50"/>
      <c r="B10" s="50"/>
      <c r="C10" s="50"/>
      <c r="D10" s="55"/>
      <c r="E10" s="55"/>
      <c r="F10" s="56"/>
      <c r="G10" s="56"/>
      <c r="H10" s="56"/>
      <c r="I10" s="56"/>
      <c r="J10" s="57"/>
      <c r="K10" s="57"/>
    </row>
    <row r="11" spans="1:11" ht="12.75">
      <c r="A11" s="58" t="s">
        <v>68</v>
      </c>
      <c r="B11" s="59"/>
      <c r="C11" s="59"/>
      <c r="D11" s="60">
        <v>1.04</v>
      </c>
      <c r="E11" s="61">
        <v>0.003</v>
      </c>
      <c r="F11" s="39">
        <v>56565229</v>
      </c>
      <c r="G11" s="39">
        <f>55176837+1388392</f>
        <v>56565229</v>
      </c>
      <c r="H11" s="39">
        <f>G11-F11</f>
        <v>0</v>
      </c>
      <c r="I11" s="39">
        <v>54342309</v>
      </c>
      <c r="J11" s="39">
        <v>54377981</v>
      </c>
      <c r="K11" s="39">
        <f>J11-I11</f>
        <v>35672</v>
      </c>
    </row>
    <row r="12" spans="1:11" ht="12.75">
      <c r="A12" s="62" t="s">
        <v>69</v>
      </c>
      <c r="B12" s="59"/>
      <c r="C12" s="59"/>
      <c r="D12" s="60">
        <v>0.45</v>
      </c>
      <c r="E12" s="60">
        <v>0.01</v>
      </c>
      <c r="F12" s="39">
        <v>16010099</v>
      </c>
      <c r="G12" s="39">
        <f>490789+9801908+5717402</f>
        <v>16010099</v>
      </c>
      <c r="H12" s="39">
        <f>G12-F12</f>
        <v>0</v>
      </c>
      <c r="I12" s="39">
        <v>36288119</v>
      </c>
      <c r="J12" s="39">
        <v>36743581</v>
      </c>
      <c r="K12" s="39">
        <f>J12-I12</f>
        <v>455462</v>
      </c>
    </row>
    <row r="13" spans="1:11" ht="12.75">
      <c r="A13" s="50"/>
      <c r="B13" s="50"/>
      <c r="C13" s="50"/>
      <c r="D13" s="63"/>
      <c r="E13" s="55"/>
      <c r="F13" s="39"/>
      <c r="G13" s="39"/>
      <c r="H13" s="39"/>
      <c r="I13" s="39"/>
      <c r="J13" s="39"/>
      <c r="K13" s="39"/>
    </row>
    <row r="14" spans="1:11" ht="12.75">
      <c r="A14" s="42"/>
      <c r="B14" s="42"/>
      <c r="C14" s="42"/>
      <c r="D14" s="64"/>
      <c r="E14" s="64"/>
      <c r="F14" s="65"/>
      <c r="G14" s="65"/>
      <c r="H14" s="65"/>
      <c r="I14" s="65"/>
      <c r="J14" s="65"/>
      <c r="K14" s="65"/>
    </row>
    <row r="15" spans="1:11" ht="12.75">
      <c r="A15" s="66" t="s">
        <v>70</v>
      </c>
      <c r="B15" s="42"/>
      <c r="C15" s="42"/>
      <c r="D15" s="64"/>
      <c r="E15" s="64"/>
      <c r="F15" s="65"/>
      <c r="G15" s="65"/>
      <c r="H15" s="65"/>
      <c r="I15" s="65"/>
      <c r="J15" s="65"/>
      <c r="K15" s="65"/>
    </row>
    <row r="16" spans="1:11" s="50" customFormat="1" ht="10.5">
      <c r="A16" s="9" t="s">
        <v>2</v>
      </c>
      <c r="B16" s="45"/>
      <c r="C16" s="45"/>
      <c r="D16" s="46" t="s">
        <v>58</v>
      </c>
      <c r="E16" s="67"/>
      <c r="F16" s="7" t="s">
        <v>4</v>
      </c>
      <c r="G16" s="7" t="s">
        <v>4</v>
      </c>
      <c r="H16" s="6" t="s">
        <v>7</v>
      </c>
      <c r="I16" s="6" t="s">
        <v>71</v>
      </c>
      <c r="J16" s="39"/>
      <c r="K16" s="39"/>
    </row>
    <row r="17" spans="4:11" s="50" customFormat="1" ht="10.5">
      <c r="D17" s="5" t="s">
        <v>9</v>
      </c>
      <c r="E17" s="5" t="s">
        <v>10</v>
      </c>
      <c r="F17" s="2" t="s">
        <v>72</v>
      </c>
      <c r="G17" s="2" t="s">
        <v>72</v>
      </c>
      <c r="H17" s="68" t="s">
        <v>73</v>
      </c>
      <c r="I17" s="68" t="s">
        <v>63</v>
      </c>
      <c r="J17" s="39"/>
      <c r="K17" s="39"/>
    </row>
    <row r="18" spans="4:11" s="50" customFormat="1" ht="10.5">
      <c r="D18" s="55"/>
      <c r="E18" s="55"/>
      <c r="F18" s="2" t="s">
        <v>74</v>
      </c>
      <c r="G18" s="68" t="s">
        <v>75</v>
      </c>
      <c r="H18" s="2" t="s">
        <v>76</v>
      </c>
      <c r="I18" s="68" t="s">
        <v>77</v>
      </c>
      <c r="J18" s="39"/>
      <c r="K18" s="39"/>
    </row>
    <row r="19" spans="1:11" s="50" customFormat="1" ht="10.5">
      <c r="A19" s="52"/>
      <c r="B19" s="52"/>
      <c r="C19" s="52"/>
      <c r="D19" s="69"/>
      <c r="E19" s="69"/>
      <c r="F19" s="19" t="s">
        <v>78</v>
      </c>
      <c r="G19" s="19" t="s">
        <v>79</v>
      </c>
      <c r="H19" s="19" t="s">
        <v>80</v>
      </c>
      <c r="I19" s="19" t="s">
        <v>80</v>
      </c>
      <c r="J19" s="39"/>
      <c r="K19" s="39"/>
    </row>
    <row r="20" spans="1:11" ht="12.75">
      <c r="A20" s="50"/>
      <c r="B20" s="50"/>
      <c r="C20" s="42"/>
      <c r="D20" s="64"/>
      <c r="E20" s="64"/>
      <c r="F20" s="65"/>
      <c r="G20" s="65"/>
      <c r="H20" s="65"/>
      <c r="I20" s="65"/>
      <c r="J20" s="65"/>
      <c r="K20" s="65"/>
    </row>
    <row r="21" spans="1:11" s="50" customFormat="1" ht="12.75">
      <c r="A21" s="59" t="s">
        <v>81</v>
      </c>
      <c r="D21" s="60">
        <v>1.77</v>
      </c>
      <c r="E21" s="61">
        <v>0.012</v>
      </c>
      <c r="F21" s="39">
        <v>51455021</v>
      </c>
      <c r="G21" s="39">
        <v>33258925</v>
      </c>
      <c r="H21" s="39">
        <v>84930352</v>
      </c>
      <c r="I21" s="39">
        <f>+H21-G21-F21</f>
        <v>216406</v>
      </c>
      <c r="J21" s="39"/>
      <c r="K21" s="39"/>
    </row>
    <row r="22" spans="1:11" ht="12.75">
      <c r="A22" s="42"/>
      <c r="B22" s="42"/>
      <c r="C22" s="42"/>
      <c r="D22" s="64"/>
      <c r="E22" s="64"/>
      <c r="F22" s="65"/>
      <c r="G22" s="65"/>
      <c r="H22" s="65"/>
      <c r="I22" s="65"/>
      <c r="J22" s="65"/>
      <c r="K22" s="65"/>
    </row>
    <row r="23" spans="1:11" ht="12.75">
      <c r="A23" s="42"/>
      <c r="B23" s="42"/>
      <c r="C23" s="42"/>
      <c r="D23" s="64"/>
      <c r="E23" s="64"/>
      <c r="F23" s="65"/>
      <c r="G23" s="65"/>
      <c r="H23" s="65"/>
      <c r="I23" s="65"/>
      <c r="J23" s="65"/>
      <c r="K23" s="65"/>
    </row>
    <row r="24" spans="1:11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2.75">
      <c r="A25" s="42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12.7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2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2.7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42" ht="12.75">
      <c r="A42">
        <f>22701586+55852</f>
        <v>22757438</v>
      </c>
    </row>
  </sheetData>
  <printOptions/>
  <pageMargins left="1.4960629921259843" right="0.7480314960629921" top="0.4724409448818898" bottom="0.6299212598425197" header="0" footer="0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2005-12-13T14:02:51Z</cp:lastPrinted>
  <dcterms:created xsi:type="dcterms:W3CDTF">1998-12-29T20:15:03Z</dcterms:created>
  <dcterms:modified xsi:type="dcterms:W3CDTF">2005-12-13T20:55:01Z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