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CMUTUAL" sheetId="2" r:id="rId2"/>
  </sheets>
  <definedNames>
    <definedName name="_xlnm.Print_Area" localSheetId="1">'CMUTUAL'!$A$1:$K$23</definedName>
    <definedName name="_xlnm.Print_Area" localSheetId="0">'CUMPV'!$A$1:$M$42</definedName>
  </definedNames>
  <calcPr fullCalcOnLoad="1"/>
</workbook>
</file>

<file path=xl/sharedStrings.xml><?xml version="1.0" encoding="utf-8"?>
<sst xmlns="http://schemas.openxmlformats.org/spreadsheetml/2006/main" count="109" uniqueCount="82">
  <si>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</si>
  <si>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</si>
  <si>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</si>
  <si>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</si>
  <si>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</si>
  <si>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</si>
  <si>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</si>
  <si>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</si>
  <si>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</si>
  <si>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</si>
  <si>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</si>
  <si>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</si>
  <si>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</si>
  <si>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</si>
  <si>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</si>
  <si>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</si>
  <si>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</si>
  <si>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</si>
  <si>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</si>
  <si>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</si>
  <si>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</si>
  <si>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</si>
  <si>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</si>
  <si>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</si>
  <si>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</si>
  <si>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</si>
  <si>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</si>
  <si>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</si>
  <si>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</si>
  <si>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</si>
  <si>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</si>
  <si>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>BBVA</t>
  </si>
  <si>
    <t xml:space="preserve">Cigna   </t>
  </si>
  <si>
    <t xml:space="preserve">Huelén </t>
  </si>
  <si>
    <t>Banchile</t>
  </si>
  <si>
    <t>Met Life</t>
  </si>
  <si>
    <t>TOTAL REASEGURADORAS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</si>
  <si>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</si>
  <si>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</si>
  <si>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</si>
  <si>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</si>
  <si>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</si>
  <si>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</si>
  <si>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</si>
  <si>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</si>
  <si>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 xml:space="preserve">ABN Amro </t>
  </si>
  <si>
    <t xml:space="preserve">Ace </t>
  </si>
  <si>
    <t>Bice</t>
  </si>
  <si>
    <t xml:space="preserve">Mapfre  </t>
  </si>
  <si>
    <t xml:space="preserve">Security Previsión </t>
  </si>
  <si>
    <t>Security Rentas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</si>
  <si>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</si>
  <si>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</si>
  <si>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</si>
  <si>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</si>
  <si>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</si>
  <si>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</si>
  <si>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</si>
  <si>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</si>
  <si>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</si>
  <si>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</si>
  <si>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</si>
  <si>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</si>
  <si>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</si>
  <si>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</si>
  <si>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</si>
  <si>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</si>
  <si>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</si>
  <si>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</si>
  <si>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</si>
  <si>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</si>
  <si>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</si>
  <si>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</si>
  <si>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</si>
  <si>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</si>
  <si>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</si>
  <si>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</si>
  <si>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</si>
  <si>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</si>
  <si>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(al 31 de marzo de 2007, montos expresados en miles de pesos)</t>
  </si>
  <si>
    <t xml:space="preserve">CLC </t>
  </si>
  <si>
    <t>Santander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</si>
</sst>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 quotePrefix="1">
      <alignment horizontal="center"/>
    </xf>
    <xf numFmtId="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62"/>
  <sheetViews>
    <sheetView tabSelected="1" zoomScale="80" zoomScaleNormal="80" workbookViewId="0" topLeftCell="A1">
      <selection activeCell="A21" sqref="A21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1" spans="1:5" ht="12.75">
      <c r="A1" s="39" t="s">
        <v>0</v>
      </c>
      <c r="B1" s="39"/>
      <c r="C1" s="40"/>
      <c r="D1" s="40"/>
      <c r="E1" s="14"/>
    </row>
    <row r="2" spans="1:4" ht="12.75">
      <c r="A2" s="41" t="s">
        <v>1</v>
      </c>
      <c r="B2" s="41"/>
      <c r="C2" s="40"/>
      <c r="D2" s="40"/>
    </row>
    <row r="3" spans="1:13" ht="12.75">
      <c r="A3" s="11" t="s">
        <v>79</v>
      </c>
      <c r="B3" s="41"/>
      <c r="C3" s="40"/>
      <c r="D3" s="40"/>
      <c r="M3" s="8"/>
    </row>
    <row r="4" spans="1:14" ht="13.5" customHeight="1">
      <c r="A4" s="10" t="s">
        <v>2</v>
      </c>
      <c r="B4" s="10"/>
      <c r="C4" s="6" t="s">
        <v>3</v>
      </c>
      <c r="D4" s="78" t="s">
        <v>17</v>
      </c>
      <c r="E4" s="78"/>
      <c r="F4" s="6" t="s">
        <v>4</v>
      </c>
      <c r="G4" s="7" t="s">
        <v>5</v>
      </c>
      <c r="H4" s="7" t="s">
        <v>6</v>
      </c>
      <c r="I4" s="6" t="s">
        <v>29</v>
      </c>
      <c r="J4" s="6" t="s">
        <v>7</v>
      </c>
      <c r="K4" s="6" t="s">
        <v>7</v>
      </c>
      <c r="L4" s="6" t="s">
        <v>7</v>
      </c>
      <c r="M4" s="6" t="s">
        <v>7</v>
      </c>
      <c r="N4" s="14"/>
    </row>
    <row r="5" spans="1:14" ht="12.75">
      <c r="A5" s="3"/>
      <c r="B5" s="3"/>
      <c r="C5" s="4" t="s">
        <v>8</v>
      </c>
      <c r="D5" s="5" t="s">
        <v>9</v>
      </c>
      <c r="E5" s="5" t="s">
        <v>10</v>
      </c>
      <c r="F5" s="4" t="s">
        <v>11</v>
      </c>
      <c r="G5" s="2" t="s">
        <v>12</v>
      </c>
      <c r="H5" s="5" t="s">
        <v>13</v>
      </c>
      <c r="I5" s="5" t="s">
        <v>14</v>
      </c>
      <c r="J5" s="5" t="s">
        <v>26</v>
      </c>
      <c r="K5" s="5" t="s">
        <v>27</v>
      </c>
      <c r="L5" s="70" t="s">
        <v>28</v>
      </c>
      <c r="M5" s="13" t="s">
        <v>25</v>
      </c>
      <c r="N5" s="14"/>
    </row>
    <row r="6" spans="1:13" ht="12.75">
      <c r="A6" s="8"/>
      <c r="B6" s="8"/>
      <c r="C6" s="8"/>
      <c r="D6" s="8"/>
      <c r="E6" s="8"/>
      <c r="F6" s="20" t="s">
        <v>15</v>
      </c>
      <c r="G6" s="21" t="s">
        <v>8</v>
      </c>
      <c r="H6" s="20" t="s">
        <v>15</v>
      </c>
      <c r="I6" s="22"/>
      <c r="J6" s="8"/>
      <c r="K6" s="8"/>
      <c r="L6" s="8"/>
      <c r="M6" s="8"/>
    </row>
    <row r="7" spans="1:13" ht="12.75">
      <c r="A7" s="3"/>
      <c r="B7" s="3"/>
      <c r="C7" s="3"/>
      <c r="D7" s="3"/>
      <c r="E7" s="3"/>
      <c r="F7" s="4"/>
      <c r="G7" s="9"/>
      <c r="H7" s="4"/>
      <c r="I7" s="5"/>
      <c r="J7" s="3"/>
      <c r="K7" s="3"/>
      <c r="L7" s="3"/>
      <c r="M7" s="3"/>
    </row>
    <row r="8" spans="1:13" s="16" customFormat="1" ht="12.75">
      <c r="A8" s="79" t="s">
        <v>45</v>
      </c>
      <c r="B8" s="79"/>
      <c r="C8" s="16">
        <v>1653567</v>
      </c>
      <c r="D8" s="18">
        <v>0.27</v>
      </c>
      <c r="E8" s="18">
        <v>0.19</v>
      </c>
      <c r="F8" s="16">
        <v>1826108</v>
      </c>
      <c r="G8" s="16">
        <f aca="true" t="shared" si="0" ref="G8:G24">+J8+K8+L8+M8</f>
        <v>2047208</v>
      </c>
      <c r="H8" s="15">
        <f aca="true" t="shared" si="1" ref="H8:H34">G8-F8</f>
        <v>221100</v>
      </c>
      <c r="I8" s="16">
        <v>0</v>
      </c>
      <c r="J8" s="16">
        <v>0</v>
      </c>
      <c r="K8" s="16">
        <v>172541</v>
      </c>
      <c r="L8" s="16">
        <v>0</v>
      </c>
      <c r="M8" s="16">
        <v>1874667</v>
      </c>
    </row>
    <row r="9" spans="1:13" s="16" customFormat="1" ht="12.75">
      <c r="A9" s="79" t="s">
        <v>46</v>
      </c>
      <c r="B9" s="79"/>
      <c r="C9" s="16">
        <v>1653567</v>
      </c>
      <c r="D9" s="18">
        <v>0.35</v>
      </c>
      <c r="E9" s="18">
        <v>0.32</v>
      </c>
      <c r="F9" s="16">
        <v>1703772</v>
      </c>
      <c r="G9" s="16">
        <f t="shared" si="0"/>
        <v>2062232</v>
      </c>
      <c r="H9" s="15">
        <f>G9-F9</f>
        <v>358460</v>
      </c>
      <c r="I9" s="16">
        <v>120871</v>
      </c>
      <c r="J9" s="16">
        <v>0</v>
      </c>
      <c r="K9" s="16">
        <f>50205+0</f>
        <v>50205</v>
      </c>
      <c r="L9" s="16">
        <v>0</v>
      </c>
      <c r="M9" s="16">
        <v>2012027</v>
      </c>
    </row>
    <row r="10" spans="1:14" s="15" customFormat="1" ht="12.75">
      <c r="A10" s="17" t="s">
        <v>34</v>
      </c>
      <c r="B10" s="17"/>
      <c r="C10" s="16">
        <v>4818214</v>
      </c>
      <c r="D10" s="18">
        <v>2.27</v>
      </c>
      <c r="E10" s="18">
        <v>0.53</v>
      </c>
      <c r="F10" s="16">
        <v>21073320</v>
      </c>
      <c r="G10" s="15">
        <f t="shared" si="0"/>
        <v>25035158</v>
      </c>
      <c r="H10" s="15">
        <f t="shared" si="1"/>
        <v>3961838</v>
      </c>
      <c r="I10" s="16">
        <v>1511923</v>
      </c>
      <c r="J10" s="16">
        <v>0</v>
      </c>
      <c r="K10" s="16">
        <f>2148248+13671547+10235+462454</f>
        <v>16292484</v>
      </c>
      <c r="L10" s="16">
        <v>0</v>
      </c>
      <c r="M10" s="16">
        <v>8742674</v>
      </c>
      <c r="N10" s="16"/>
    </row>
    <row r="11" spans="1:13" s="16" customFormat="1" ht="12.75">
      <c r="A11" s="17" t="s">
        <v>31</v>
      </c>
      <c r="B11" s="17"/>
      <c r="C11" s="16">
        <v>8058758</v>
      </c>
      <c r="D11" s="18">
        <v>6.72</v>
      </c>
      <c r="E11" s="18">
        <v>0.18</v>
      </c>
      <c r="F11" s="16">
        <v>130734783</v>
      </c>
      <c r="G11" s="15">
        <f t="shared" si="0"/>
        <v>140484143</v>
      </c>
      <c r="H11" s="15">
        <f>G11-F11</f>
        <v>9749360</v>
      </c>
      <c r="I11" s="16">
        <v>1936024</v>
      </c>
      <c r="J11" s="16">
        <v>116965218</v>
      </c>
      <c r="K11" s="16">
        <f>803633+4907174</f>
        <v>5710807</v>
      </c>
      <c r="L11" s="16">
        <v>0</v>
      </c>
      <c r="M11" s="16">
        <v>17808118</v>
      </c>
    </row>
    <row r="12" spans="1:13" s="16" customFormat="1" ht="12.75">
      <c r="A12" s="17" t="s">
        <v>47</v>
      </c>
      <c r="B12" s="17"/>
      <c r="C12" s="16">
        <v>82262722</v>
      </c>
      <c r="D12" s="18">
        <v>7.63</v>
      </c>
      <c r="E12" s="18">
        <v>0.47</v>
      </c>
      <c r="F12" s="16">
        <v>1333660057</v>
      </c>
      <c r="G12" s="15">
        <f t="shared" si="0"/>
        <v>1408050613</v>
      </c>
      <c r="H12" s="15">
        <f>G12-F12</f>
        <v>74390556</v>
      </c>
      <c r="I12" s="16">
        <v>40814487</v>
      </c>
      <c r="J12" s="16">
        <v>1205184609</v>
      </c>
      <c r="K12" s="16">
        <f>3564145+31058446+8265+12331365</f>
        <v>46962221</v>
      </c>
      <c r="L12" s="16">
        <v>49</v>
      </c>
      <c r="M12" s="16">
        <v>155903734</v>
      </c>
    </row>
    <row r="13" spans="1:13" s="16" customFormat="1" ht="12.75">
      <c r="A13" s="76" t="s">
        <v>40</v>
      </c>
      <c r="B13" s="77"/>
      <c r="C13" s="16">
        <v>5080585</v>
      </c>
      <c r="D13" s="18">
        <v>3.61</v>
      </c>
      <c r="E13" s="18">
        <v>0.41</v>
      </c>
      <c r="F13" s="16">
        <v>53848980</v>
      </c>
      <c r="G13" s="16">
        <f t="shared" si="0"/>
        <v>65159806</v>
      </c>
      <c r="H13" s="15">
        <f t="shared" si="1"/>
        <v>11310826</v>
      </c>
      <c r="I13" s="16">
        <v>335394</v>
      </c>
      <c r="J13" s="16">
        <v>26407640</v>
      </c>
      <c r="K13" s="16">
        <f>9387542+603614+9992115+2608050</f>
        <v>22591321</v>
      </c>
      <c r="L13" s="16">
        <v>0</v>
      </c>
      <c r="M13" s="16">
        <v>16160845</v>
      </c>
    </row>
    <row r="14" spans="1:13" s="15" customFormat="1" ht="12.75">
      <c r="A14" s="17" t="s">
        <v>43</v>
      </c>
      <c r="B14" s="19"/>
      <c r="C14" s="16">
        <v>11606190</v>
      </c>
      <c r="D14" s="18">
        <v>2.24</v>
      </c>
      <c r="E14" s="18">
        <v>0.72</v>
      </c>
      <c r="F14" s="16">
        <v>36065267</v>
      </c>
      <c r="G14" s="15">
        <f t="shared" si="0"/>
        <v>40577569</v>
      </c>
      <c r="H14" s="15">
        <f t="shared" si="1"/>
        <v>4512302</v>
      </c>
      <c r="I14" s="16">
        <v>335976</v>
      </c>
      <c r="J14" s="16">
        <v>0</v>
      </c>
      <c r="K14" s="16">
        <f>2560765+21898312</f>
        <v>24459077</v>
      </c>
      <c r="L14" s="16">
        <v>0</v>
      </c>
      <c r="M14" s="16">
        <v>16118492</v>
      </c>
    </row>
    <row r="15" spans="1:13" s="16" customFormat="1" ht="12.75">
      <c r="A15" s="17" t="s">
        <v>19</v>
      </c>
      <c r="B15" s="19"/>
      <c r="C15" s="16">
        <v>40767114</v>
      </c>
      <c r="D15" s="18">
        <v>8.65</v>
      </c>
      <c r="E15" s="18">
        <v>0.39</v>
      </c>
      <c r="F15" s="16">
        <v>684982033</v>
      </c>
      <c r="G15" s="16">
        <f t="shared" si="0"/>
        <v>715975960</v>
      </c>
      <c r="H15" s="15">
        <f t="shared" si="1"/>
        <v>30993927</v>
      </c>
      <c r="I15" s="16">
        <v>4257829</v>
      </c>
      <c r="J15" s="16">
        <v>554876190</v>
      </c>
      <c r="K15" s="16">
        <f>10257545+29832258+6463392+39607115</f>
        <v>86160310</v>
      </c>
      <c r="L15" s="16">
        <v>3268836</v>
      </c>
      <c r="M15" s="16">
        <v>71670624</v>
      </c>
    </row>
    <row r="16" spans="1:14" s="25" customFormat="1" ht="12.75">
      <c r="A16" s="17" t="s">
        <v>32</v>
      </c>
      <c r="B16" s="17"/>
      <c r="C16" s="15">
        <v>6351882</v>
      </c>
      <c r="D16" s="24">
        <v>4.43</v>
      </c>
      <c r="E16" s="24">
        <v>0.08</v>
      </c>
      <c r="F16" s="15">
        <v>92971365</v>
      </c>
      <c r="G16" s="15">
        <f t="shared" si="0"/>
        <v>106399682</v>
      </c>
      <c r="H16" s="15">
        <f t="shared" si="1"/>
        <v>13428317</v>
      </c>
      <c r="I16" s="15">
        <v>147671</v>
      </c>
      <c r="J16" s="15">
        <v>83685645</v>
      </c>
      <c r="K16" s="15">
        <f>1325626+754260+990222</f>
        <v>3070108</v>
      </c>
      <c r="L16" s="15">
        <v>0</v>
      </c>
      <c r="M16" s="15">
        <v>19643929</v>
      </c>
      <c r="N16" s="15"/>
    </row>
    <row r="17" spans="1:14" s="25" customFormat="1" ht="12.75">
      <c r="A17" s="17" t="s">
        <v>80</v>
      </c>
      <c r="B17" s="17"/>
      <c r="C17" s="15">
        <v>1653567</v>
      </c>
      <c r="D17" s="24">
        <v>0.23</v>
      </c>
      <c r="E17" s="24">
        <v>0.08</v>
      </c>
      <c r="F17" s="15">
        <v>1959849</v>
      </c>
      <c r="G17" s="16">
        <f t="shared" si="0"/>
        <v>2221708</v>
      </c>
      <c r="H17" s="15">
        <f>G17-F17</f>
        <v>261859</v>
      </c>
      <c r="I17" s="15">
        <v>138665</v>
      </c>
      <c r="J17" s="15">
        <v>0</v>
      </c>
      <c r="K17" s="15">
        <f>142136+164146</f>
        <v>306282</v>
      </c>
      <c r="L17" s="15">
        <v>0</v>
      </c>
      <c r="M17" s="15">
        <v>1915426</v>
      </c>
      <c r="N17" s="16"/>
    </row>
    <row r="18" spans="1:13" s="16" customFormat="1" ht="12.75">
      <c r="A18" s="17" t="s">
        <v>38</v>
      </c>
      <c r="B18" s="19"/>
      <c r="C18" s="16">
        <v>16838418</v>
      </c>
      <c r="D18" s="18">
        <v>5.11</v>
      </c>
      <c r="E18" s="18">
        <v>0.2</v>
      </c>
      <c r="F18" s="16">
        <v>291987386</v>
      </c>
      <c r="G18" s="16">
        <f t="shared" si="0"/>
        <v>331557654</v>
      </c>
      <c r="H18" s="15">
        <f t="shared" si="1"/>
        <v>39570268</v>
      </c>
      <c r="I18" s="16">
        <v>661851</v>
      </c>
      <c r="J18" s="16">
        <v>272851098</v>
      </c>
      <c r="K18" s="16">
        <f>87181+2210689</f>
        <v>2297870</v>
      </c>
      <c r="L18" s="16">
        <v>0</v>
      </c>
      <c r="M18" s="16">
        <v>56408686</v>
      </c>
    </row>
    <row r="19" spans="1:13" s="16" customFormat="1" ht="12.75">
      <c r="A19" s="17" t="s">
        <v>20</v>
      </c>
      <c r="B19" s="17"/>
      <c r="C19" s="16">
        <v>123058144</v>
      </c>
      <c r="D19" s="18">
        <v>6.19</v>
      </c>
      <c r="E19" s="18">
        <v>0.44</v>
      </c>
      <c r="F19" s="16">
        <v>1828967265</v>
      </c>
      <c r="G19" s="16">
        <f t="shared" si="0"/>
        <v>1962922175</v>
      </c>
      <c r="H19" s="15">
        <f t="shared" si="1"/>
        <v>133954910</v>
      </c>
      <c r="I19" s="16">
        <v>55269623</v>
      </c>
      <c r="J19" s="16">
        <v>1562267636</v>
      </c>
      <c r="K19" s="16">
        <f>2057084+44742366+56617210+15923255</f>
        <v>119339915</v>
      </c>
      <c r="L19" s="16">
        <v>482643</v>
      </c>
      <c r="M19" s="16">
        <v>280831981</v>
      </c>
    </row>
    <row r="20" spans="1:13" s="16" customFormat="1" ht="12.75">
      <c r="A20" s="17" t="s">
        <v>21</v>
      </c>
      <c r="B20" s="17"/>
      <c r="C20" s="16">
        <v>22407450</v>
      </c>
      <c r="D20" s="18">
        <v>5.85</v>
      </c>
      <c r="E20" s="18">
        <v>0.17</v>
      </c>
      <c r="F20" s="16">
        <v>327303616</v>
      </c>
      <c r="G20" s="16">
        <f t="shared" si="0"/>
        <v>352990252</v>
      </c>
      <c r="H20" s="15">
        <f t="shared" si="1"/>
        <v>25686636</v>
      </c>
      <c r="I20" s="16">
        <v>7604065</v>
      </c>
      <c r="J20" s="16">
        <v>269154350</v>
      </c>
      <c r="K20" s="16">
        <f>2610572+12388214+1503735+12639238+0</f>
        <v>29141759</v>
      </c>
      <c r="L20" s="16">
        <v>390743</v>
      </c>
      <c r="M20" s="16">
        <v>54303400</v>
      </c>
    </row>
    <row r="21" spans="1:13" s="16" customFormat="1" ht="12.75">
      <c r="A21" s="17" t="s">
        <v>39</v>
      </c>
      <c r="B21" s="17"/>
      <c r="C21" s="16">
        <v>24457935</v>
      </c>
      <c r="D21" s="18">
        <v>10.98</v>
      </c>
      <c r="E21" s="18">
        <v>0.4</v>
      </c>
      <c r="F21" s="16">
        <v>432267978</v>
      </c>
      <c r="G21" s="16">
        <f t="shared" si="0"/>
        <v>441817745</v>
      </c>
      <c r="H21" s="15">
        <f t="shared" si="1"/>
        <v>9549767</v>
      </c>
      <c r="I21" s="16">
        <v>4969669</v>
      </c>
      <c r="J21" s="16">
        <v>328818380</v>
      </c>
      <c r="K21" s="16">
        <f>2763988+15062630+30360922+30430534</f>
        <v>78618074</v>
      </c>
      <c r="L21" s="16">
        <v>314527</v>
      </c>
      <c r="M21" s="16">
        <v>34066764</v>
      </c>
    </row>
    <row r="22" spans="1:13" s="16" customFormat="1" ht="12.75">
      <c r="A22" s="17" t="s">
        <v>33</v>
      </c>
      <c r="B22" s="17"/>
      <c r="C22" s="16">
        <v>1653567</v>
      </c>
      <c r="D22" s="18">
        <v>0.62</v>
      </c>
      <c r="E22" s="18">
        <v>0.04</v>
      </c>
      <c r="F22" s="16">
        <v>3366881</v>
      </c>
      <c r="G22" s="16">
        <f t="shared" si="0"/>
        <v>4063481</v>
      </c>
      <c r="H22" s="15">
        <f t="shared" si="1"/>
        <v>696600</v>
      </c>
      <c r="I22" s="16">
        <v>571579</v>
      </c>
      <c r="J22" s="16">
        <v>0</v>
      </c>
      <c r="K22" s="16">
        <f>372978+1340336</f>
        <v>1713314</v>
      </c>
      <c r="L22" s="16">
        <v>0</v>
      </c>
      <c r="M22" s="16">
        <v>2350167</v>
      </c>
    </row>
    <row r="23" spans="1:14" s="26" customFormat="1" ht="12.75">
      <c r="A23" s="17" t="s">
        <v>41</v>
      </c>
      <c r="B23" s="17"/>
      <c r="C23" s="16">
        <v>94719531</v>
      </c>
      <c r="D23" s="18">
        <v>8.1</v>
      </c>
      <c r="E23" s="18">
        <v>0.11</v>
      </c>
      <c r="F23" s="16">
        <v>1607506410</v>
      </c>
      <c r="G23" s="15">
        <f t="shared" si="0"/>
        <v>1677106506</v>
      </c>
      <c r="H23" s="15">
        <f t="shared" si="1"/>
        <v>69600096</v>
      </c>
      <c r="I23" s="16">
        <v>10650700</v>
      </c>
      <c r="J23" s="16">
        <v>1374660506</v>
      </c>
      <c r="K23" s="16">
        <f>4703009+57259531+38052834+38054842</f>
        <v>138070216</v>
      </c>
      <c r="L23" s="16">
        <v>433984</v>
      </c>
      <c r="M23" s="16">
        <v>163941800</v>
      </c>
      <c r="N23" s="16"/>
    </row>
    <row r="24" spans="1:14" s="26" customFormat="1" ht="12.75">
      <c r="A24" s="17" t="s">
        <v>22</v>
      </c>
      <c r="B24" s="17"/>
      <c r="C24" s="16">
        <v>14161123</v>
      </c>
      <c r="D24" s="18">
        <v>2.9</v>
      </c>
      <c r="E24" s="18">
        <v>0.37</v>
      </c>
      <c r="F24" s="16">
        <v>153433461</v>
      </c>
      <c r="G24" s="15">
        <f t="shared" si="0"/>
        <v>173247657</v>
      </c>
      <c r="H24" s="15">
        <f>G24-F24</f>
        <v>19814196</v>
      </c>
      <c r="I24" s="16">
        <v>8384712</v>
      </c>
      <c r="J24" s="16">
        <v>31033645</v>
      </c>
      <c r="K24" s="16">
        <f>6154491+51498522+1996189+49301830</f>
        <v>108951032</v>
      </c>
      <c r="L24" s="16">
        <v>0</v>
      </c>
      <c r="M24" s="16">
        <v>33262980</v>
      </c>
      <c r="N24" s="16"/>
    </row>
    <row r="25" spans="1:13" s="15" customFormat="1" ht="12.75">
      <c r="A25" s="17" t="s">
        <v>48</v>
      </c>
      <c r="B25" s="17"/>
      <c r="C25" s="16">
        <v>2048703</v>
      </c>
      <c r="D25" s="18">
        <v>10.23</v>
      </c>
      <c r="E25" s="18">
        <v>0.61</v>
      </c>
      <c r="F25" s="16">
        <v>29054843</v>
      </c>
      <c r="G25" s="15">
        <f aca="true" t="shared" si="2" ref="G25:G33">+J25+K25+L25+M25</f>
        <v>30497541</v>
      </c>
      <c r="H25" s="15">
        <f aca="true" t="shared" si="3" ref="H25:H32">G25-F25</f>
        <v>1442698</v>
      </c>
      <c r="I25" s="16">
        <v>66683</v>
      </c>
      <c r="J25" s="16">
        <v>25881605</v>
      </c>
      <c r="K25" s="16">
        <f>125978+682581+347557</f>
        <v>1156116</v>
      </c>
      <c r="L25" s="16">
        <v>0</v>
      </c>
      <c r="M25" s="16">
        <v>3459820</v>
      </c>
    </row>
    <row r="26" spans="1:13" s="15" customFormat="1" ht="12.75">
      <c r="A26" s="17" t="s">
        <v>35</v>
      </c>
      <c r="B26" s="17"/>
      <c r="C26" s="16">
        <v>78592106</v>
      </c>
      <c r="D26" s="18">
        <v>10.31</v>
      </c>
      <c r="E26" s="18">
        <v>0.23</v>
      </c>
      <c r="F26" s="16">
        <v>1261283302</v>
      </c>
      <c r="G26" s="15">
        <f t="shared" si="2"/>
        <v>1270180850</v>
      </c>
      <c r="H26" s="15">
        <f t="shared" si="3"/>
        <v>8897548</v>
      </c>
      <c r="I26" s="16">
        <v>5888936</v>
      </c>
      <c r="J26" s="16">
        <v>1109954191</v>
      </c>
      <c r="K26" s="16">
        <f>11011360+31882703+2929120+26577679</f>
        <v>72400862</v>
      </c>
      <c r="L26" s="16">
        <v>0</v>
      </c>
      <c r="M26" s="16">
        <v>87825797</v>
      </c>
    </row>
    <row r="27" spans="1:13" s="16" customFormat="1" ht="12.75">
      <c r="A27" s="17" t="s">
        <v>30</v>
      </c>
      <c r="B27" s="17"/>
      <c r="C27" s="16">
        <v>19923693</v>
      </c>
      <c r="D27" s="18">
        <v>12.45</v>
      </c>
      <c r="E27" s="18">
        <v>0.09</v>
      </c>
      <c r="F27" s="16">
        <v>350988871</v>
      </c>
      <c r="G27" s="16">
        <f t="shared" si="2"/>
        <v>353570107</v>
      </c>
      <c r="H27" s="15">
        <f t="shared" si="3"/>
        <v>2581236</v>
      </c>
      <c r="I27" s="16">
        <v>433940</v>
      </c>
      <c r="J27" s="16">
        <v>326118493</v>
      </c>
      <c r="K27" s="16">
        <f>1000234+3879355+67095</f>
        <v>4946684</v>
      </c>
      <c r="L27" s="16">
        <v>0</v>
      </c>
      <c r="M27" s="16">
        <v>22504930</v>
      </c>
    </row>
    <row r="28" spans="1:13" s="15" customFormat="1" ht="12.75">
      <c r="A28" s="17" t="s">
        <v>44</v>
      </c>
      <c r="B28" s="19"/>
      <c r="C28" s="16">
        <v>37194198</v>
      </c>
      <c r="D28" s="18">
        <v>7.88</v>
      </c>
      <c r="E28" s="18">
        <v>0.21</v>
      </c>
      <c r="F28" s="16">
        <v>650186464</v>
      </c>
      <c r="G28" s="15">
        <f>+J28+K28+L28+M28</f>
        <v>666046009</v>
      </c>
      <c r="H28" s="15">
        <f>G28-F28</f>
        <v>15859545</v>
      </c>
      <c r="I28" s="16">
        <v>16221351</v>
      </c>
      <c r="J28" s="16">
        <v>591761122</v>
      </c>
      <c r="K28" s="16">
        <f>191139+4120997+19201135</f>
        <v>23513271</v>
      </c>
      <c r="L28" s="16">
        <v>464013</v>
      </c>
      <c r="M28" s="16">
        <v>50307603</v>
      </c>
    </row>
    <row r="29" spans="1:13" s="15" customFormat="1" ht="12.75">
      <c r="A29" s="17" t="s">
        <v>42</v>
      </c>
      <c r="B29" s="19"/>
      <c r="C29" s="16">
        <v>68110045</v>
      </c>
      <c r="D29" s="18">
        <v>14.86</v>
      </c>
      <c r="E29" s="18">
        <v>0.27</v>
      </c>
      <c r="F29" s="16">
        <v>1206084529</v>
      </c>
      <c r="G29" s="15">
        <f t="shared" si="2"/>
        <v>1213146260</v>
      </c>
      <c r="H29" s="15">
        <f t="shared" si="3"/>
        <v>7061731</v>
      </c>
      <c r="I29" s="16">
        <v>7111821</v>
      </c>
      <c r="J29" s="16">
        <v>1119411899</v>
      </c>
      <c r="K29" s="16">
        <f>931054+11592899+2634787+3735451</f>
        <v>18894191</v>
      </c>
      <c r="L29" s="16">
        <v>0</v>
      </c>
      <c r="M29" s="16">
        <v>74840170</v>
      </c>
    </row>
    <row r="30" spans="1:13" s="16" customFormat="1" ht="12.75">
      <c r="A30" s="17" t="s">
        <v>23</v>
      </c>
      <c r="B30" s="17"/>
      <c r="C30" s="16">
        <v>15287366</v>
      </c>
      <c r="D30" s="18">
        <v>7.08</v>
      </c>
      <c r="E30" s="18">
        <v>0.23</v>
      </c>
      <c r="F30" s="16">
        <v>266954228</v>
      </c>
      <c r="G30" s="16">
        <f>+J30+K30+L30+M30</f>
        <v>268777374</v>
      </c>
      <c r="H30" s="15">
        <f>G30-F30</f>
        <v>1823146</v>
      </c>
      <c r="I30" s="16">
        <v>20273012</v>
      </c>
      <c r="J30" s="16">
        <v>249331110</v>
      </c>
      <c r="K30" s="16">
        <f>1922289+167596+277547</f>
        <v>2367432</v>
      </c>
      <c r="L30" s="16">
        <v>1562</v>
      </c>
      <c r="M30" s="16">
        <v>17077270</v>
      </c>
    </row>
    <row r="31" spans="1:14" s="15" customFormat="1" ht="12.75">
      <c r="A31" s="17" t="s">
        <v>81</v>
      </c>
      <c r="B31" s="17"/>
      <c r="C31" s="16">
        <v>10879599</v>
      </c>
      <c r="D31" s="18">
        <v>0.74</v>
      </c>
      <c r="E31" s="18">
        <v>0.17</v>
      </c>
      <c r="F31" s="16">
        <v>47601986</v>
      </c>
      <c r="G31" s="15">
        <f>+J31+K31+L31+M31</f>
        <v>64844308</v>
      </c>
      <c r="H31" s="15">
        <f>G31-F31</f>
        <v>17242322</v>
      </c>
      <c r="I31" s="16">
        <v>28553121</v>
      </c>
      <c r="J31" s="16">
        <v>0</v>
      </c>
      <c r="K31" s="16">
        <f>8990415+25860482+2400023</f>
        <v>37250920</v>
      </c>
      <c r="L31" s="16">
        <v>49205</v>
      </c>
      <c r="M31" s="16">
        <v>27544183</v>
      </c>
      <c r="N31" s="16"/>
    </row>
    <row r="32" spans="1:14" s="15" customFormat="1" ht="12.75">
      <c r="A32" s="17" t="s">
        <v>49</v>
      </c>
      <c r="B32" s="17"/>
      <c r="C32" s="16">
        <v>7278607</v>
      </c>
      <c r="D32" s="18">
        <v>5.69</v>
      </c>
      <c r="E32" s="18">
        <v>0.59</v>
      </c>
      <c r="F32" s="16">
        <v>74808022</v>
      </c>
      <c r="G32" s="16">
        <f t="shared" si="2"/>
        <v>75682832</v>
      </c>
      <c r="H32" s="15">
        <f t="shared" si="3"/>
        <v>874810</v>
      </c>
      <c r="I32" s="16">
        <v>774020</v>
      </c>
      <c r="J32" s="16">
        <v>36086438</v>
      </c>
      <c r="K32" s="16">
        <f>2297151+5352985+15955813+7531355</f>
        <v>31137304</v>
      </c>
      <c r="L32" s="16">
        <v>356227</v>
      </c>
      <c r="M32" s="16">
        <v>8102863</v>
      </c>
      <c r="N32" s="16"/>
    </row>
    <row r="33" spans="1:13" s="16" customFormat="1" ht="12.75">
      <c r="A33" s="17" t="s">
        <v>50</v>
      </c>
      <c r="B33" s="19"/>
      <c r="C33" s="16">
        <v>28628770</v>
      </c>
      <c r="D33" s="18">
        <v>7.54</v>
      </c>
      <c r="E33" s="18">
        <v>0.09</v>
      </c>
      <c r="F33" s="16">
        <v>509294997</v>
      </c>
      <c r="G33" s="16">
        <f t="shared" si="2"/>
        <v>541850661</v>
      </c>
      <c r="H33" s="15">
        <f>G33-F33</f>
        <v>32555664</v>
      </c>
      <c r="I33" s="16">
        <v>233786</v>
      </c>
      <c r="J33" s="16">
        <v>446950344</v>
      </c>
      <c r="K33" s="16">
        <f>33715883+0</f>
        <v>33715883</v>
      </c>
      <c r="L33" s="16">
        <v>0</v>
      </c>
      <c r="M33" s="16">
        <v>61184434</v>
      </c>
    </row>
    <row r="34" spans="1:13" s="16" customFormat="1" ht="12.75">
      <c r="A34" s="17" t="s">
        <v>24</v>
      </c>
      <c r="B34" s="17"/>
      <c r="C34" s="16">
        <v>52452105</v>
      </c>
      <c r="D34" s="18">
        <v>8.43</v>
      </c>
      <c r="E34" s="18">
        <v>0.2</v>
      </c>
      <c r="F34" s="16">
        <v>908280235</v>
      </c>
      <c r="G34" s="15">
        <f>+J34+K34+L34+M34</f>
        <v>934126002</v>
      </c>
      <c r="H34" s="15">
        <f t="shared" si="1"/>
        <v>25845767</v>
      </c>
      <c r="I34" s="16">
        <v>15587984</v>
      </c>
      <c r="J34" s="16">
        <v>826324699</v>
      </c>
      <c r="K34" s="16">
        <f>740606+10562344+9765150+9070003</f>
        <v>30138103</v>
      </c>
      <c r="L34" s="16">
        <v>0</v>
      </c>
      <c r="M34" s="16">
        <v>77663200</v>
      </c>
    </row>
    <row r="35" spans="1:13" s="16" customFormat="1" ht="12.75">
      <c r="A35" s="27" t="s">
        <v>16</v>
      </c>
      <c r="B35" s="27"/>
      <c r="C35" s="28">
        <f>SUM(C8:C34)</f>
        <v>781597526</v>
      </c>
      <c r="D35" s="29"/>
      <c r="E35" s="29"/>
      <c r="F35" s="28">
        <f aca="true" t="shared" si="4" ref="F35:M35">SUM(F8:F34)</f>
        <v>12308196008</v>
      </c>
      <c r="G35" s="28">
        <f t="shared" si="4"/>
        <v>12870441493</v>
      </c>
      <c r="H35" s="28">
        <f t="shared" si="4"/>
        <v>562245485</v>
      </c>
      <c r="I35" s="28">
        <f t="shared" si="4"/>
        <v>232855693</v>
      </c>
      <c r="J35" s="28">
        <f t="shared" si="4"/>
        <v>10557724818</v>
      </c>
      <c r="K35" s="28">
        <f t="shared" si="4"/>
        <v>939428302</v>
      </c>
      <c r="L35" s="28">
        <f t="shared" si="4"/>
        <v>5761789</v>
      </c>
      <c r="M35" s="28">
        <f t="shared" si="4"/>
        <v>1367526584</v>
      </c>
    </row>
    <row r="36" spans="1:13" s="16" customFormat="1" ht="12.75">
      <c r="A36" s="30"/>
      <c r="B36" s="30"/>
      <c r="D36" s="18"/>
      <c r="E36" s="18"/>
      <c r="M36" s="23"/>
    </row>
    <row r="37" spans="1:14" s="15" customFormat="1" ht="12.75">
      <c r="A37" s="17" t="s">
        <v>18</v>
      </c>
      <c r="B37" s="17"/>
      <c r="C37" s="16">
        <v>2204756</v>
      </c>
      <c r="D37" s="18">
        <v>1.56</v>
      </c>
      <c r="E37" s="18">
        <v>0.04</v>
      </c>
      <c r="F37" s="16">
        <v>33317417</v>
      </c>
      <c r="G37" s="15">
        <f>+J37+K37+L37+M37</f>
        <v>41363957</v>
      </c>
      <c r="H37" s="15">
        <f>G37-F37</f>
        <v>8046540</v>
      </c>
      <c r="I37" s="16">
        <v>10715940</v>
      </c>
      <c r="J37" s="16">
        <v>31044322</v>
      </c>
      <c r="K37" s="16">
        <f>55862+12477</f>
        <v>68339</v>
      </c>
      <c r="L37" s="16">
        <v>0</v>
      </c>
      <c r="M37" s="16">
        <v>10251296</v>
      </c>
      <c r="N37" s="32"/>
    </row>
    <row r="38" spans="1:15" s="16" customFormat="1" ht="12.75">
      <c r="A38" s="31" t="s">
        <v>36</v>
      </c>
      <c r="B38" s="31"/>
      <c r="C38" s="28">
        <f>SUM(C37)</f>
        <v>2204756</v>
      </c>
      <c r="D38" s="29"/>
      <c r="E38" s="29"/>
      <c r="F38" s="28">
        <f aca="true" t="shared" si="5" ref="F38:M38">SUM(F37)</f>
        <v>33317417</v>
      </c>
      <c r="G38" s="28">
        <f t="shared" si="5"/>
        <v>41363957</v>
      </c>
      <c r="H38" s="28">
        <f t="shared" si="5"/>
        <v>8046540</v>
      </c>
      <c r="I38" s="28">
        <f t="shared" si="5"/>
        <v>10715940</v>
      </c>
      <c r="J38" s="28">
        <f t="shared" si="5"/>
        <v>31044322</v>
      </c>
      <c r="K38" s="28">
        <f t="shared" si="5"/>
        <v>68339</v>
      </c>
      <c r="L38" s="28">
        <f t="shared" si="5"/>
        <v>0</v>
      </c>
      <c r="M38" s="28">
        <f t="shared" si="5"/>
        <v>10251296</v>
      </c>
      <c r="N38" s="32"/>
      <c r="O38" s="32"/>
    </row>
    <row r="39" spans="4:14" s="16" customFormat="1" ht="12.75">
      <c r="D39" s="18"/>
      <c r="E39" s="18"/>
      <c r="I39" s="15"/>
      <c r="J39" s="15"/>
      <c r="K39" s="15"/>
      <c r="M39" s="23"/>
      <c r="N39" s="32"/>
    </row>
    <row r="40" spans="1:13" s="16" customFormat="1" ht="12.75">
      <c r="A40" s="33" t="s">
        <v>9</v>
      </c>
      <c r="B40" s="33"/>
      <c r="C40" s="34">
        <f>C35+C38</f>
        <v>783802282</v>
      </c>
      <c r="D40" s="35"/>
      <c r="E40" s="35"/>
      <c r="F40" s="34">
        <f aca="true" t="shared" si="6" ref="F40:M40">F35+F38</f>
        <v>12341513425</v>
      </c>
      <c r="G40" s="34">
        <f t="shared" si="6"/>
        <v>12911805450</v>
      </c>
      <c r="H40" s="34">
        <f t="shared" si="6"/>
        <v>570292025</v>
      </c>
      <c r="I40" s="34">
        <f t="shared" si="6"/>
        <v>243571633</v>
      </c>
      <c r="J40" s="36">
        <f t="shared" si="6"/>
        <v>10588769140</v>
      </c>
      <c r="K40" s="36">
        <f t="shared" si="6"/>
        <v>939496641</v>
      </c>
      <c r="L40" s="34">
        <f t="shared" si="6"/>
        <v>5761789</v>
      </c>
      <c r="M40" s="34">
        <f t="shared" si="6"/>
        <v>1377777880</v>
      </c>
    </row>
    <row r="41" s="16" customFormat="1" ht="9.75" customHeight="1">
      <c r="A41" s="37"/>
    </row>
    <row r="42" spans="1:13" s="16" customFormat="1" ht="15" customHeight="1">
      <c r="A42" s="3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4"/>
    </row>
    <row r="43" s="16" customFormat="1" ht="12.75">
      <c r="A43" s="38"/>
    </row>
    <row r="44" s="16" customFormat="1" ht="12.75">
      <c r="A44" s="38"/>
    </row>
    <row r="45" spans="1:5" s="16" customFormat="1" ht="12.75">
      <c r="A45" s="23"/>
      <c r="D45" s="18"/>
      <c r="E45" s="18"/>
    </row>
    <row r="46" spans="1:5" s="16" customFormat="1" ht="12.75">
      <c r="A46" s="23"/>
      <c r="D46" s="18"/>
      <c r="E46" s="18"/>
    </row>
    <row r="47" spans="1:5" s="16" customFormat="1" ht="12.75">
      <c r="A47" s="23"/>
      <c r="D47" s="18"/>
      <c r="E47" s="18"/>
    </row>
    <row r="48" spans="1:6" s="16" customFormat="1" ht="12.75">
      <c r="A48" s="23"/>
      <c r="D48" s="18"/>
      <c r="E48" s="18"/>
      <c r="F48" s="16" t="s">
        <v>37</v>
      </c>
    </row>
    <row r="49" spans="4:5" s="16" customFormat="1" ht="12.75">
      <c r="D49" s="18"/>
      <c r="E49" s="18"/>
    </row>
    <row r="50" spans="4:5" s="16" customFormat="1" ht="12.75">
      <c r="D50" s="18"/>
      <c r="E50" s="18"/>
    </row>
    <row r="51" spans="4:5" s="16" customFormat="1" ht="12.75">
      <c r="D51" s="18"/>
      <c r="E51" s="18"/>
    </row>
    <row r="52" spans="4:5" s="16" customFormat="1" ht="12.75">
      <c r="D52" s="18"/>
      <c r="E52" s="18"/>
    </row>
    <row r="53" spans="4:5" s="16" customFormat="1" ht="12.75">
      <c r="D53" s="18"/>
      <c r="E53" s="18"/>
    </row>
    <row r="54" spans="4:5" s="16" customFormat="1" ht="12.75">
      <c r="D54" s="18"/>
      <c r="E54" s="18"/>
    </row>
    <row r="55" spans="4:5" s="16" customFormat="1" ht="12.75">
      <c r="D55" s="18"/>
      <c r="E55" s="18"/>
    </row>
    <row r="56" spans="4:5" s="16" customFormat="1" ht="12.75">
      <c r="D56" s="18"/>
      <c r="E56" s="18"/>
    </row>
    <row r="57" spans="4:5" s="16" customFormat="1" ht="12.75">
      <c r="D57" s="18"/>
      <c r="E57" s="18"/>
    </row>
    <row r="58" spans="4:5" s="16" customFormat="1" ht="12.75">
      <c r="D58" s="18"/>
      <c r="E58" s="18"/>
    </row>
    <row r="59" spans="4:5" s="16" customFormat="1" ht="12.75">
      <c r="D59" s="18"/>
      <c r="E59" s="18"/>
    </row>
    <row r="60" spans="4:5" s="16" customFormat="1" ht="12.75">
      <c r="D60" s="18"/>
      <c r="E60" s="18"/>
    </row>
    <row r="61" spans="4:5" s="16" customFormat="1" ht="12.75">
      <c r="D61" s="18"/>
      <c r="E61" s="18"/>
    </row>
    <row r="62" spans="4:5" s="16" customFormat="1" ht="12.75">
      <c r="D62" s="18"/>
      <c r="E62" s="18"/>
    </row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</sheetData>
  <mergeCells count="5">
    <mergeCell ref="B42:L42"/>
    <mergeCell ref="A13:B13"/>
    <mergeCell ref="D4:E4"/>
    <mergeCell ref="A8:B8"/>
    <mergeCell ref="A9:B9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40"/>
  <sheetViews>
    <sheetView zoomScale="90" zoomScaleNormal="90" workbookViewId="0" topLeftCell="A1">
      <selection activeCell="K20" sqref="K20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71"/>
      <c r="L1" s="43"/>
      <c r="M1" s="43"/>
    </row>
    <row r="2" spans="1:13" ht="12.75">
      <c r="A2" s="71"/>
      <c r="L2" s="43"/>
      <c r="M2" s="43"/>
    </row>
    <row r="3" spans="1:13" ht="12.75">
      <c r="A3" s="39" t="s">
        <v>51</v>
      </c>
      <c r="B3" s="73"/>
      <c r="C3" s="48"/>
      <c r="D3" s="48"/>
      <c r="E3" s="48"/>
      <c r="F3" s="48"/>
      <c r="G3" s="48"/>
      <c r="H3" s="48"/>
      <c r="I3" s="48"/>
      <c r="J3" s="48"/>
      <c r="K3" s="48"/>
      <c r="L3" s="43"/>
      <c r="M3" s="43"/>
    </row>
    <row r="4" spans="1:13" ht="12.75">
      <c r="A4" s="11" t="s">
        <v>79</v>
      </c>
      <c r="B4" s="41"/>
      <c r="C4" s="40"/>
      <c r="D4" s="40"/>
      <c r="E4" s="1"/>
      <c r="F4" s="48"/>
      <c r="G4" s="48"/>
      <c r="H4" s="48"/>
      <c r="I4" s="48"/>
      <c r="J4" s="48"/>
      <c r="K4" s="48"/>
      <c r="L4" s="43"/>
      <c r="M4" s="43"/>
    </row>
    <row r="5" spans="1:13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3"/>
      <c r="M5" s="43"/>
    </row>
    <row r="6" spans="1:13" ht="12.75">
      <c r="A6" s="72" t="s">
        <v>52</v>
      </c>
      <c r="B6" s="42"/>
      <c r="C6" s="72"/>
      <c r="D6" s="42"/>
      <c r="E6" s="48"/>
      <c r="F6" s="48"/>
      <c r="G6" s="48"/>
      <c r="H6" s="48"/>
      <c r="I6" s="48"/>
      <c r="J6" s="48"/>
      <c r="K6" s="48"/>
      <c r="L6" s="43"/>
      <c r="M6" s="43"/>
    </row>
    <row r="7" spans="1:13" ht="12.75">
      <c r="A7" s="10" t="s">
        <v>2</v>
      </c>
      <c r="B7" s="49"/>
      <c r="C7" s="49"/>
      <c r="D7" s="50" t="s">
        <v>53</v>
      </c>
      <c r="E7" s="51"/>
      <c r="F7" s="52" t="s">
        <v>54</v>
      </c>
      <c r="G7" s="52" t="s">
        <v>7</v>
      </c>
      <c r="H7" s="53" t="s">
        <v>55</v>
      </c>
      <c r="I7" s="52" t="s">
        <v>54</v>
      </c>
      <c r="J7" s="52" t="s">
        <v>7</v>
      </c>
      <c r="K7" s="53" t="s">
        <v>55</v>
      </c>
      <c r="L7" s="44"/>
      <c r="M7" s="43"/>
    </row>
    <row r="8" spans="1:13" ht="12.75">
      <c r="A8" s="42"/>
      <c r="B8" s="42"/>
      <c r="C8" s="42"/>
      <c r="D8" s="5" t="s">
        <v>9</v>
      </c>
      <c r="E8" s="5" t="s">
        <v>10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57</v>
      </c>
      <c r="K8" s="54" t="s">
        <v>58</v>
      </c>
      <c r="L8" s="43"/>
      <c r="M8" s="43"/>
    </row>
    <row r="9" spans="1:13" ht="12.75">
      <c r="A9" s="55"/>
      <c r="B9" s="55"/>
      <c r="C9" s="55"/>
      <c r="D9" s="55"/>
      <c r="E9" s="55"/>
      <c r="F9" s="56" t="s">
        <v>60</v>
      </c>
      <c r="G9" s="56" t="s">
        <v>61</v>
      </c>
      <c r="H9" s="56" t="s">
        <v>61</v>
      </c>
      <c r="I9" s="56" t="s">
        <v>3</v>
      </c>
      <c r="J9" s="57" t="s">
        <v>62</v>
      </c>
      <c r="K9" s="57" t="s">
        <v>62</v>
      </c>
      <c r="L9" s="43"/>
      <c r="M9" s="43"/>
    </row>
    <row r="10" spans="1:13" ht="12.75">
      <c r="A10" s="42"/>
      <c r="B10" s="42"/>
      <c r="C10" s="42"/>
      <c r="D10" s="58"/>
      <c r="E10" s="58"/>
      <c r="F10" s="59"/>
      <c r="G10" s="59"/>
      <c r="H10" s="59"/>
      <c r="I10" s="59"/>
      <c r="J10" s="60"/>
      <c r="K10" s="60"/>
      <c r="L10" s="43"/>
      <c r="M10" s="43"/>
    </row>
    <row r="11" spans="1:13" ht="12.75">
      <c r="A11" s="72" t="s">
        <v>76</v>
      </c>
      <c r="B11" s="42"/>
      <c r="C11" s="42"/>
      <c r="D11" s="61">
        <v>1.11</v>
      </c>
      <c r="E11" s="62">
        <v>0.005</v>
      </c>
      <c r="F11" s="63">
        <v>64443993</v>
      </c>
      <c r="G11" s="63">
        <f>1088069+61855869+1500055</f>
        <v>64443993</v>
      </c>
      <c r="H11" s="63">
        <f>G11-F11</f>
        <v>0</v>
      </c>
      <c r="I11" s="63">
        <v>58296892</v>
      </c>
      <c r="J11" s="63">
        <v>58472575</v>
      </c>
      <c r="K11" s="63">
        <f>J11-I11</f>
        <v>175683</v>
      </c>
      <c r="L11" s="43"/>
      <c r="M11" s="43"/>
    </row>
    <row r="12" spans="1:13" ht="12.75">
      <c r="A12" s="72" t="s">
        <v>77</v>
      </c>
      <c r="B12" s="42"/>
      <c r="C12" s="42"/>
      <c r="D12" s="61">
        <v>0.44</v>
      </c>
      <c r="E12" s="61">
        <v>0.01</v>
      </c>
      <c r="F12" s="63">
        <v>18232991</v>
      </c>
      <c r="G12" s="63">
        <f>450862+11257059+6525070</f>
        <v>18232991</v>
      </c>
      <c r="H12" s="63">
        <f>G12-F12</f>
        <v>0</v>
      </c>
      <c r="I12" s="63">
        <v>42231055</v>
      </c>
      <c r="J12" s="63">
        <v>42709993</v>
      </c>
      <c r="K12" s="63">
        <f>J12-I12</f>
        <v>478938</v>
      </c>
      <c r="L12" s="43"/>
      <c r="M12" s="43"/>
    </row>
    <row r="13" spans="1:13" ht="12.75">
      <c r="A13" s="42"/>
      <c r="B13" s="42"/>
      <c r="C13" s="42"/>
      <c r="D13" s="58"/>
      <c r="E13" s="58"/>
      <c r="F13" s="63"/>
      <c r="G13" s="63"/>
      <c r="H13" s="63"/>
      <c r="I13" s="63"/>
      <c r="J13" s="63"/>
      <c r="K13" s="63"/>
      <c r="L13" s="43"/>
      <c r="M13" s="43"/>
    </row>
    <row r="14" spans="1:13" s="42" customFormat="1" ht="12.75">
      <c r="A14" s="48"/>
      <c r="B14" s="48"/>
      <c r="C14" s="48"/>
      <c r="D14" s="64"/>
      <c r="E14" s="64"/>
      <c r="F14" s="65"/>
      <c r="G14" s="65"/>
      <c r="H14" s="65"/>
      <c r="I14" s="65"/>
      <c r="J14" s="65"/>
      <c r="K14" s="65"/>
      <c r="L14" s="43"/>
      <c r="M14" s="45"/>
    </row>
    <row r="15" spans="1:13" s="42" customFormat="1" ht="12.75">
      <c r="A15" s="72" t="s">
        <v>63</v>
      </c>
      <c r="C15" s="72"/>
      <c r="D15" s="72"/>
      <c r="F15" s="72"/>
      <c r="G15" s="65"/>
      <c r="H15" s="65"/>
      <c r="I15" s="65"/>
      <c r="J15" s="65"/>
      <c r="K15" s="65"/>
      <c r="L15" s="43"/>
      <c r="M15" s="45"/>
    </row>
    <row r="16" spans="1:13" s="42" customFormat="1" ht="12.75">
      <c r="A16" s="10" t="s">
        <v>2</v>
      </c>
      <c r="B16" s="49"/>
      <c r="C16" s="49"/>
      <c r="D16" s="50" t="s">
        <v>53</v>
      </c>
      <c r="E16" s="46"/>
      <c r="F16" s="66" t="s">
        <v>64</v>
      </c>
      <c r="G16" s="66" t="s">
        <v>64</v>
      </c>
      <c r="H16" s="12" t="s">
        <v>65</v>
      </c>
      <c r="I16" s="12" t="s">
        <v>66</v>
      </c>
      <c r="J16" s="63"/>
      <c r="K16" s="63"/>
      <c r="L16" s="43"/>
      <c r="M16" s="45"/>
    </row>
    <row r="17" spans="4:13" s="42" customFormat="1" ht="10.5">
      <c r="D17" s="5" t="s">
        <v>9</v>
      </c>
      <c r="E17" s="5" t="s">
        <v>10</v>
      </c>
      <c r="F17" s="60" t="s">
        <v>67</v>
      </c>
      <c r="G17" s="60" t="s">
        <v>67</v>
      </c>
      <c r="H17" s="59" t="s">
        <v>68</v>
      </c>
      <c r="I17" s="59" t="s">
        <v>58</v>
      </c>
      <c r="J17" s="63"/>
      <c r="K17" s="63"/>
      <c r="L17" s="45"/>
      <c r="M17" s="45"/>
    </row>
    <row r="18" spans="1:13" ht="12.75">
      <c r="A18" s="42"/>
      <c r="B18" s="42"/>
      <c r="C18" s="42"/>
      <c r="D18" s="58"/>
      <c r="E18" s="58"/>
      <c r="F18" s="60" t="s">
        <v>69</v>
      </c>
      <c r="G18" s="59" t="s">
        <v>70</v>
      </c>
      <c r="H18" s="60" t="s">
        <v>71</v>
      </c>
      <c r="I18" s="59" t="s">
        <v>72</v>
      </c>
      <c r="J18" s="63"/>
      <c r="K18" s="63"/>
      <c r="L18" s="45"/>
      <c r="M18" s="43"/>
    </row>
    <row r="19" spans="1:13" s="42" customFormat="1" ht="10.5">
      <c r="A19" s="55"/>
      <c r="B19" s="55"/>
      <c r="C19" s="55"/>
      <c r="D19" s="67"/>
      <c r="E19" s="67"/>
      <c r="F19" s="68" t="s">
        <v>73</v>
      </c>
      <c r="G19" s="68" t="s">
        <v>74</v>
      </c>
      <c r="H19" s="68" t="s">
        <v>75</v>
      </c>
      <c r="I19" s="68" t="s">
        <v>75</v>
      </c>
      <c r="J19" s="63"/>
      <c r="K19" s="63"/>
      <c r="L19" s="45"/>
      <c r="M19" s="45"/>
    </row>
    <row r="20" spans="1:13" ht="12.75">
      <c r="A20" s="42"/>
      <c r="B20" s="42"/>
      <c r="C20" s="48"/>
      <c r="D20" s="64"/>
      <c r="E20" s="64"/>
      <c r="F20" s="65"/>
      <c r="G20" s="65"/>
      <c r="H20" s="65"/>
      <c r="I20" s="65"/>
      <c r="J20" s="65"/>
      <c r="K20" s="65"/>
      <c r="L20" s="45"/>
      <c r="M20" s="43"/>
    </row>
    <row r="21" spans="1:13" ht="12.75">
      <c r="A21" s="42" t="s">
        <v>78</v>
      </c>
      <c r="B21" s="42"/>
      <c r="C21" s="42"/>
      <c r="D21" s="61">
        <v>1.27</v>
      </c>
      <c r="E21" s="61">
        <v>0.01</v>
      </c>
      <c r="F21" s="63">
        <v>56213405</v>
      </c>
      <c r="G21" s="63">
        <v>48949424</v>
      </c>
      <c r="H21" s="63">
        <v>105449902</v>
      </c>
      <c r="I21" s="63">
        <f>+H21-G21-F21</f>
        <v>287073</v>
      </c>
      <c r="J21" s="63"/>
      <c r="K21" s="63"/>
      <c r="L21" s="43"/>
      <c r="M21" s="43"/>
    </row>
    <row r="22" spans="1:13" ht="12.75">
      <c r="A22" s="48"/>
      <c r="B22" s="48"/>
      <c r="C22" s="48"/>
      <c r="D22" s="64"/>
      <c r="E22" s="64"/>
      <c r="F22" s="65"/>
      <c r="G22" s="65"/>
      <c r="H22" s="65"/>
      <c r="I22" s="65"/>
      <c r="J22" s="65"/>
      <c r="K22" s="65"/>
      <c r="L22" s="45"/>
      <c r="M22" s="43"/>
    </row>
    <row r="23" spans="1:13" ht="12.75">
      <c r="A23" s="48"/>
      <c r="B23" s="48"/>
      <c r="C23" s="48"/>
      <c r="D23" s="64"/>
      <c r="E23" s="64"/>
      <c r="F23" s="65"/>
      <c r="G23" s="65"/>
      <c r="H23" s="65"/>
      <c r="I23" s="65"/>
      <c r="J23" s="65"/>
      <c r="K23" s="65"/>
      <c r="L23" s="43"/>
      <c r="M23" s="43"/>
    </row>
    <row r="24" spans="1:13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43"/>
      <c r="M24" s="43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3"/>
      <c r="M25" s="43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3"/>
      <c r="M26" s="43"/>
    </row>
    <row r="27" spans="1:13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40" ht="12.75">
      <c r="A40">
        <f>22701586+55852</f>
        <v>22757438</v>
      </c>
    </row>
  </sheetData>
  <printOptions/>
  <pageMargins left="0.7480314960629921" right="0.5118110236220472" top="0.984251968503937" bottom="0.984251968503937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2007-04-10T20:38:39Z</cp:lastPrinted>
  <dcterms:created xsi:type="dcterms:W3CDTF">1998-12-29T20:15:03Z</dcterms:created>
  <dcterms:modified xsi:type="dcterms:W3CDTF">2007-06-21T17:17:49Z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