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CUMPV" sheetId="1" r:id="rId1"/>
    <sheet name="CMUTUAL" sheetId="2" r:id="rId2"/>
  </sheets>
  <definedNames>
    <definedName name="_xlnm.Print_Area" localSheetId="1">'CMUTUAL'!$A$1:$K$23</definedName>
    <definedName name="_xlnm.Print_Area" localSheetId="0">'CUMPV'!$A$1:$M$41</definedName>
  </definedNames>
  <calcPr fullCalcOnLoad="1"/>
</workbook>
</file>

<file path=xl/sharedStrings.xml><?xml version="1.0" encoding="utf-8"?>
<sst xmlns="http://schemas.openxmlformats.org/spreadsheetml/2006/main" count="114" uniqueCount="86">
  <si>
    <t>CUMPLIMIENTO DE NORMAS</t>
  </si>
  <si>
    <t>SEGUROS DE VIDA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</si>
  <si>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</si>
  <si>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</si>
  <si>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</si>
  <si>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</si>
  <si>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</si>
  <si>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</si>
  <si>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</si>
  <si>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</si>
  <si>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</si>
  <si>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</si>
  <si>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</si>
  <si>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</si>
  <si>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</si>
  <si>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</si>
  <si>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 xml:space="preserve">TOTAL ASEGURADORAS    </t>
  </si>
  <si>
    <t>ENDEUDAMIENTO</t>
  </si>
  <si>
    <t>Caja Reaseguradora</t>
  </si>
  <si>
    <t>Chilena Consolidada</t>
  </si>
  <si>
    <t>Consorcio Nacional</t>
  </si>
  <si>
    <t>Cruz del Sur</t>
  </si>
  <si>
    <t>Interamericana</t>
  </si>
  <si>
    <t>Renta Nacional</t>
  </si>
  <si>
    <t xml:space="preserve">Vida Corp  </t>
  </si>
  <si>
    <t>PAT. RIESGO</t>
  </si>
  <si>
    <t>RES. PREVIS.</t>
  </si>
  <si>
    <t>RES. NO PREVIS.</t>
  </si>
  <si>
    <t>RES. ADIC.</t>
  </si>
  <si>
    <t>INVERSIONES NO</t>
  </si>
  <si>
    <t>Ohio National</t>
  </si>
  <si>
    <t>TECNICAS</t>
  </si>
  <si>
    <t>BBVA</t>
  </si>
  <si>
    <t xml:space="preserve">Cigna   </t>
  </si>
  <si>
    <t xml:space="preserve">Huelén </t>
  </si>
  <si>
    <t>Banchile</t>
  </si>
  <si>
    <t>Met Life</t>
  </si>
  <si>
    <t>TOTAL REASEGURADORAS</t>
  </si>
  <si>
    <t xml:space="preserve">  </t>
  </si>
  <si>
    <t>Altavida</t>
  </si>
  <si>
    <t>CN Life</t>
  </si>
  <si>
    <t xml:space="preserve">Euroamérica </t>
  </si>
  <si>
    <t>Bci</t>
  </si>
  <si>
    <t xml:space="preserve">ING </t>
  </si>
  <si>
    <t>Principal</t>
  </si>
  <si>
    <t xml:space="preserve">Cardif   </t>
  </si>
  <si>
    <t xml:space="preserve"> </t>
  </si>
  <si>
    <t>Penta</t>
  </si>
  <si>
    <t xml:space="preserve">ABN Amro </t>
  </si>
  <si>
    <t xml:space="preserve">Ace </t>
  </si>
  <si>
    <t>Bice</t>
  </si>
  <si>
    <t xml:space="preserve">Mapfre  </t>
  </si>
  <si>
    <t xml:space="preserve">Security Previsión </t>
  </si>
  <si>
    <t>MUTUALIDADES</t>
  </si>
  <si>
    <t>VENTAS INSTITUCIONALES EXCLUSIVAMENTE</t>
  </si>
  <si>
    <t xml:space="preserve">             ENDEUDAMIENTO</t>
  </si>
  <si>
    <t>OBLIGACION</t>
  </si>
  <si>
    <t>SUPERAVIT (DEF)</t>
  </si>
  <si>
    <t>DE INV.LAS</t>
  </si>
  <si>
    <t>REPRESENT.</t>
  </si>
  <si>
    <t>DE INV.REPRES.</t>
  </si>
  <si>
    <t>DE INV.EL</t>
  </si>
  <si>
    <t>R.TECNICAS</t>
  </si>
  <si>
    <t>DE RES.TEC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</si>
  <si>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</si>
  <si>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</si>
  <si>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</si>
  <si>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</si>
  <si>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</si>
  <si>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</si>
  <si>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</si>
  <si>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</si>
  <si>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</si>
  <si>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</si>
  <si>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</si>
  <si>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</si>
  <si>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</si>
  <si>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</si>
  <si>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(al 31 de marzo de 2006, montos expresados en miles de pesos)</t>
  </si>
  <si>
    <t>Mutual de Seguros</t>
  </si>
  <si>
    <t>Security Rentas (1)</t>
  </si>
  <si>
    <t>Mut. de Carabineros</t>
  </si>
  <si>
    <t>Mut. Ejérc. y Aviac.</t>
  </si>
  <si>
    <t>1)</t>
  </si>
  <si>
    <t>Por resolución Nº142 del 20.04.06 de esta Superintendencia, se aprobó el cambio de nombre de Interamericana Rentas Seguros de Vida S.A. por el de Security Rentas Seguros de Vida S.A.</t>
  </si>
  <si>
    <t>RESERVAS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</si>
</sst>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\ &quot;$&quot;_);\(#,##0\ &quot;$&quot;\)"/>
    <numFmt numFmtId="201" formatCode="#,##0\ &quot;$&quot;_);[Red]\(#,##0\ &quot;$&quot;\)"/>
    <numFmt numFmtId="202" formatCode="#,##0.00\ &quot;$&quot;_);\(#,##0.00\ &quot;$&quot;\)"/>
    <numFmt numFmtId="203" formatCode="#,##0.00\ &quot;$&quot;_);[Red]\(#,##0.00\ &quot;$&quot;\)"/>
    <numFmt numFmtId="204" formatCode="_ * #,##0_)\ &quot;$&quot;_ ;_ * \(#,##0\)\ &quot;$&quot;_ ;_ * &quot;-&quot;_)\ &quot;$&quot;_ ;_ @_ "/>
    <numFmt numFmtId="205" formatCode="_ * #,##0_)\ _$_ ;_ * \(#,##0\)\ _$_ ;_ * &quot;-&quot;_)\ _$_ ;_ @_ "/>
    <numFmt numFmtId="206" formatCode="_ * #,##0.00_)\ &quot;$&quot;_ ;_ * \(#,##0.00\)\ &quot;$&quot;_ ;_ * &quot;-&quot;??_)\ &quot;$&quot;_ ;_ @_ "/>
    <numFmt numFmtId="207" formatCode="_ * #,##0.00_)\ _$_ ;_ * \(#,##0.00\)\ _$_ ;_ * &quot;-&quot;??_)\ _$_ ;_ @_ "/>
    <numFmt numFmtId="208" formatCode="#,##0&quot; Pts&quot;;\-#,##0&quot; Pts&quot;"/>
    <numFmt numFmtId="209" formatCode="#,##0&quot; Pts&quot;;[Red]\-#,##0&quot; Pts&quot;"/>
    <numFmt numFmtId="210" formatCode="#,##0.00&quot; Pts&quot;;\-#,##0.00&quot; Pts&quot;"/>
    <numFmt numFmtId="211" formatCode="#,##0.00&quot; Pts&quot;;[Red]\-#,##0.00&quot; Pts&quot;"/>
    <numFmt numFmtId="212" formatCode="#,##0.000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#,##0.0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2"/>
    </font>
    <font>
      <sz val="10"/>
      <color indexed="10"/>
      <name val="MS Sans Serif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9"/>
      <name val="MS Sans Serif"/>
      <family val="2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 quotePrefix="1">
      <alignment horizontal="right"/>
    </xf>
    <xf numFmtId="3" fontId="0" fillId="0" borderId="2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1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 quotePrefix="1">
      <alignment horizontal="left"/>
    </xf>
    <xf numFmtId="3" fontId="4" fillId="0" borderId="2" xfId="0" applyNumberFormat="1" applyFont="1" applyBorder="1" applyAlignment="1" quotePrefix="1">
      <alignment horizontal="right"/>
    </xf>
    <xf numFmtId="3" fontId="4" fillId="0" borderId="2" xfId="0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left"/>
    </xf>
    <xf numFmtId="3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 vertical="top"/>
    </xf>
    <xf numFmtId="3" fontId="0" fillId="0" borderId="0" xfId="0" applyNumberFormat="1" applyFill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 vertical="top"/>
    </xf>
    <xf numFmtId="3" fontId="5" fillId="0" borderId="0" xfId="0" applyNumberFormat="1" applyFont="1" applyFill="1" applyAlignment="1" quotePrefix="1">
      <alignment horizontal="left" vertical="top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 quotePrefix="1">
      <alignment horizontal="left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2" fontId="4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 quotePrefix="1">
      <alignment horizontal="center"/>
    </xf>
    <xf numFmtId="2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 quotePrefix="1">
      <alignment horizontal="left"/>
    </xf>
    <xf numFmtId="17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3" fontId="4" fillId="0" borderId="0" xfId="0" applyNumberFormat="1" applyFont="1" applyAlignment="1">
      <alignment horizontal="right" vertical="center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 horizontal="left"/>
    </xf>
    <xf numFmtId="3" fontId="4" fillId="0" borderId="3" xfId="0" applyNumberFormat="1" applyFont="1" applyBorder="1" applyAlignment="1" quotePrefix="1">
      <alignment horizontal="center"/>
    </xf>
    <xf numFmtId="3" fontId="5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 horizontal="justify" vertical="top" wrapText="1"/>
    </xf>
    <xf numFmtId="3" fontId="9" fillId="0" borderId="0" xfId="0" applyNumberFormat="1" applyFont="1" applyFill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O64"/>
  <sheetViews>
    <sheetView tabSelected="1" zoomScale="80" zoomScaleNormal="80" workbookViewId="0" topLeftCell="A1">
      <selection activeCell="H31" sqref="H31"/>
    </sheetView>
  </sheetViews>
  <sheetFormatPr defaultColWidth="11.421875" defaultRowHeight="12.75"/>
  <cols>
    <col min="1" max="1" width="2.57421875" style="1" customWidth="1"/>
    <col min="2" max="2" width="22.421875" style="1" customWidth="1"/>
    <col min="3" max="3" width="13.57421875" style="1" customWidth="1"/>
    <col min="4" max="4" width="8.140625" style="1" customWidth="1"/>
    <col min="5" max="5" width="8.57421875" style="1" customWidth="1"/>
    <col min="6" max="6" width="17.00390625" style="1" bestFit="1" customWidth="1"/>
    <col min="7" max="7" width="16.7109375" style="1" bestFit="1" customWidth="1"/>
    <col min="8" max="8" width="18.00390625" style="1" bestFit="1" customWidth="1"/>
    <col min="9" max="9" width="17.7109375" style="1" bestFit="1" customWidth="1"/>
    <col min="10" max="11" width="16.140625" style="1" customWidth="1"/>
    <col min="12" max="12" width="14.8515625" style="1" customWidth="1"/>
    <col min="13" max="13" width="15.8515625" style="1" customWidth="1"/>
    <col min="14" max="14" width="14.57421875" style="1" bestFit="1" customWidth="1"/>
    <col min="15" max="16384" width="11.421875" style="1" customWidth="1"/>
  </cols>
  <sheetData>
    <row r="1" spans="1:5" ht="12.75">
      <c r="A1" s="39" t="s">
        <v>0</v>
      </c>
      <c r="B1" s="39"/>
      <c r="C1" s="40"/>
      <c r="D1" s="40"/>
      <c r="E1" s="14"/>
    </row>
    <row r="2" spans="1:4" ht="12.75">
      <c r="A2" s="41" t="s">
        <v>1</v>
      </c>
      <c r="B2" s="41"/>
      <c r="C2" s="40"/>
      <c r="D2" s="40"/>
    </row>
    <row r="3" spans="1:13" ht="12.75">
      <c r="A3" s="11" t="s">
        <v>78</v>
      </c>
      <c r="B3" s="41"/>
      <c r="C3" s="40"/>
      <c r="D3" s="40"/>
      <c r="M3" s="8"/>
    </row>
    <row r="4" spans="1:14" ht="12.75">
      <c r="A4" s="10" t="s">
        <v>2</v>
      </c>
      <c r="B4" s="10"/>
      <c r="C4" s="6" t="s">
        <v>3</v>
      </c>
      <c r="D4" s="79" t="s">
        <v>17</v>
      </c>
      <c r="E4" s="79"/>
      <c r="F4" s="6" t="s">
        <v>4</v>
      </c>
      <c r="G4" s="7" t="s">
        <v>5</v>
      </c>
      <c r="H4" s="7" t="s">
        <v>6</v>
      </c>
      <c r="I4" s="6" t="s">
        <v>29</v>
      </c>
      <c r="J4" s="6" t="s">
        <v>7</v>
      </c>
      <c r="K4" s="6" t="s">
        <v>7</v>
      </c>
      <c r="L4" s="6" t="s">
        <v>7</v>
      </c>
      <c r="M4" s="6" t="s">
        <v>7</v>
      </c>
      <c r="N4" s="40" t="s">
        <v>85</v>
      </c>
    </row>
    <row r="5" spans="1:14" ht="12.75">
      <c r="A5" s="3"/>
      <c r="B5" s="3"/>
      <c r="C5" s="4" t="s">
        <v>8</v>
      </c>
      <c r="D5" s="5" t="s">
        <v>9</v>
      </c>
      <c r="E5" s="5" t="s">
        <v>10</v>
      </c>
      <c r="F5" s="4" t="s">
        <v>11</v>
      </c>
      <c r="G5" s="2" t="s">
        <v>12</v>
      </c>
      <c r="H5" s="5" t="s">
        <v>13</v>
      </c>
      <c r="I5" s="5" t="s">
        <v>14</v>
      </c>
      <c r="J5" s="5" t="s">
        <v>26</v>
      </c>
      <c r="K5" s="5" t="s">
        <v>27</v>
      </c>
      <c r="L5" s="75" t="s">
        <v>28</v>
      </c>
      <c r="M5" s="13" t="s">
        <v>25</v>
      </c>
      <c r="N5" s="40" t="s">
        <v>31</v>
      </c>
    </row>
    <row r="6" spans="1:13" ht="12.75">
      <c r="A6" s="8"/>
      <c r="B6" s="8"/>
      <c r="C6" s="8"/>
      <c r="D6" s="8"/>
      <c r="E6" s="8"/>
      <c r="F6" s="20" t="s">
        <v>15</v>
      </c>
      <c r="G6" s="21" t="s">
        <v>8</v>
      </c>
      <c r="H6" s="20" t="s">
        <v>15</v>
      </c>
      <c r="I6" s="22"/>
      <c r="J6" s="8"/>
      <c r="K6" s="8"/>
      <c r="L6" s="8"/>
      <c r="M6" s="8"/>
    </row>
    <row r="7" spans="1:13" ht="12.75">
      <c r="A7" s="3"/>
      <c r="B7" s="3"/>
      <c r="C7" s="3"/>
      <c r="D7" s="3"/>
      <c r="E7" s="3"/>
      <c r="F7" s="4"/>
      <c r="G7" s="9"/>
      <c r="H7" s="4"/>
      <c r="I7" s="5"/>
      <c r="J7" s="3"/>
      <c r="K7" s="3"/>
      <c r="L7" s="3"/>
      <c r="M7" s="3"/>
    </row>
    <row r="8" spans="1:14" s="16" customFormat="1" ht="12.75">
      <c r="A8" s="76" t="s">
        <v>48</v>
      </c>
      <c r="B8" s="76"/>
      <c r="C8" s="16">
        <v>1612409</v>
      </c>
      <c r="D8" s="18">
        <v>0.57</v>
      </c>
      <c r="E8" s="18">
        <v>0.46</v>
      </c>
      <c r="F8" s="16">
        <v>1853818</v>
      </c>
      <c r="G8" s="16">
        <f aca="true" t="shared" si="0" ref="G8:G24">+J8+K8+L8+M8</f>
        <v>2271202</v>
      </c>
      <c r="H8" s="15">
        <f aca="true" t="shared" si="1" ref="H8:H33">G8-F8</f>
        <v>417384</v>
      </c>
      <c r="I8" s="16">
        <v>328068</v>
      </c>
      <c r="J8" s="16">
        <v>0</v>
      </c>
      <c r="K8" s="16">
        <f>224708+16701</f>
        <v>241409</v>
      </c>
      <c r="L8" s="16">
        <v>0</v>
      </c>
      <c r="M8" s="16">
        <v>2029793</v>
      </c>
      <c r="N8" s="16">
        <f>+F8-C8</f>
        <v>241409</v>
      </c>
    </row>
    <row r="9" spans="1:14" s="16" customFormat="1" ht="12.75">
      <c r="A9" s="76" t="s">
        <v>49</v>
      </c>
      <c r="B9" s="76"/>
      <c r="C9" s="16">
        <v>1612409</v>
      </c>
      <c r="D9" s="18">
        <v>0.46</v>
      </c>
      <c r="E9" s="18">
        <v>0.46</v>
      </c>
      <c r="F9" s="16">
        <v>1612409</v>
      </c>
      <c r="G9" s="16">
        <f t="shared" si="0"/>
        <v>2406502</v>
      </c>
      <c r="H9" s="15">
        <f>G9-F9</f>
        <v>794093</v>
      </c>
      <c r="I9" s="16">
        <v>2189</v>
      </c>
      <c r="J9" s="16">
        <v>0</v>
      </c>
      <c r="K9" s="16">
        <v>0</v>
      </c>
      <c r="L9" s="16">
        <v>0</v>
      </c>
      <c r="M9" s="16">
        <v>2406502</v>
      </c>
      <c r="N9" s="16">
        <f>+F9-C9</f>
        <v>0</v>
      </c>
    </row>
    <row r="10" spans="1:14" s="15" customFormat="1" ht="12.75">
      <c r="A10" s="17" t="s">
        <v>39</v>
      </c>
      <c r="B10" s="19"/>
      <c r="C10" s="16">
        <v>15884166</v>
      </c>
      <c r="D10" s="18">
        <v>0.98</v>
      </c>
      <c r="E10" s="18">
        <v>0.36</v>
      </c>
      <c r="F10" s="16">
        <v>44309268</v>
      </c>
      <c r="G10" s="15">
        <f t="shared" si="0"/>
        <v>47806341</v>
      </c>
      <c r="H10" s="15">
        <f t="shared" si="1"/>
        <v>3497073</v>
      </c>
      <c r="I10" s="16">
        <v>19645391</v>
      </c>
      <c r="J10" s="16">
        <v>0</v>
      </c>
      <c r="K10" s="16">
        <f>4629907+22555671+1317238</f>
        <v>28502816</v>
      </c>
      <c r="L10" s="16">
        <v>50358</v>
      </c>
      <c r="M10" s="16">
        <v>19253167</v>
      </c>
      <c r="N10" s="16">
        <f aca="true" t="shared" si="2" ref="N10:N33">+F10-C10</f>
        <v>28425102</v>
      </c>
    </row>
    <row r="11" spans="1:14" s="15" customFormat="1" ht="12.75">
      <c r="A11" s="17" t="s">
        <v>35</v>
      </c>
      <c r="B11" s="17"/>
      <c r="C11" s="16">
        <v>4532893</v>
      </c>
      <c r="D11" s="18">
        <v>2.58</v>
      </c>
      <c r="E11" s="18">
        <v>0.7</v>
      </c>
      <c r="F11" s="16">
        <v>17194719</v>
      </c>
      <c r="G11" s="15">
        <f t="shared" si="0"/>
        <v>18433468</v>
      </c>
      <c r="H11" s="15">
        <f t="shared" si="1"/>
        <v>1238749</v>
      </c>
      <c r="I11" s="16">
        <v>1636294</v>
      </c>
      <c r="J11" s="16">
        <v>0</v>
      </c>
      <c r="K11" s="16">
        <f>2158394+10079888+7195+462911</f>
        <v>12708388</v>
      </c>
      <c r="L11" s="16">
        <v>0</v>
      </c>
      <c r="M11" s="16">
        <v>5725080</v>
      </c>
      <c r="N11" s="16">
        <f t="shared" si="2"/>
        <v>12661826</v>
      </c>
    </row>
    <row r="12" spans="1:14" s="16" customFormat="1" ht="12.75">
      <c r="A12" s="17" t="s">
        <v>32</v>
      </c>
      <c r="B12" s="17"/>
      <c r="C12" s="16">
        <v>6459395</v>
      </c>
      <c r="D12" s="18">
        <v>6.39</v>
      </c>
      <c r="E12" s="18">
        <v>0.16</v>
      </c>
      <c r="F12" s="16">
        <v>97512525</v>
      </c>
      <c r="G12" s="16">
        <f t="shared" si="0"/>
        <v>106556831</v>
      </c>
      <c r="H12" s="15">
        <f>G12-F12</f>
        <v>9044306</v>
      </c>
      <c r="I12" s="16">
        <v>7721</v>
      </c>
      <c r="J12" s="16">
        <v>86403108</v>
      </c>
      <c r="K12" s="16">
        <f>569996+4080026</f>
        <v>4650022</v>
      </c>
      <c r="L12" s="16">
        <v>0</v>
      </c>
      <c r="M12" s="16">
        <v>15503701</v>
      </c>
      <c r="N12" s="16">
        <f t="shared" si="2"/>
        <v>91053130</v>
      </c>
    </row>
    <row r="13" spans="1:14" s="16" customFormat="1" ht="12.75">
      <c r="A13" s="77" t="s">
        <v>42</v>
      </c>
      <c r="B13" s="78"/>
      <c r="C13" s="16">
        <v>3924031</v>
      </c>
      <c r="D13" s="18">
        <v>3.99</v>
      </c>
      <c r="E13" s="18">
        <v>0.33</v>
      </c>
      <c r="F13" s="16">
        <v>45996831</v>
      </c>
      <c r="G13" s="16">
        <f t="shared" si="0"/>
        <v>52835899</v>
      </c>
      <c r="H13" s="15">
        <f t="shared" si="1"/>
        <v>6839068</v>
      </c>
      <c r="I13" s="16">
        <v>253536</v>
      </c>
      <c r="J13" s="16">
        <v>23622336</v>
      </c>
      <c r="K13" s="16">
        <f>2158957+7645487+495363+8313292</f>
        <v>18613099</v>
      </c>
      <c r="L13" s="16">
        <v>0</v>
      </c>
      <c r="M13" s="16">
        <v>10600464</v>
      </c>
      <c r="N13" s="16">
        <f t="shared" si="2"/>
        <v>42072800</v>
      </c>
    </row>
    <row r="14" spans="1:14" s="16" customFormat="1" ht="12.75">
      <c r="A14" s="17" t="s">
        <v>50</v>
      </c>
      <c r="B14" s="17"/>
      <c r="C14" s="16">
        <v>82226791</v>
      </c>
      <c r="D14" s="18">
        <v>9.17</v>
      </c>
      <c r="E14" s="18">
        <v>0.39</v>
      </c>
      <c r="F14" s="16">
        <v>1299345070</v>
      </c>
      <c r="G14" s="15">
        <f t="shared" si="0"/>
        <v>1313085947</v>
      </c>
      <c r="H14" s="15">
        <f>G14-F14</f>
        <v>13740877</v>
      </c>
      <c r="I14" s="16">
        <v>33472375</v>
      </c>
      <c r="J14" s="16">
        <v>1176599735</v>
      </c>
      <c r="K14" s="16">
        <f>3341963+29774196+8165223</f>
        <v>41281382</v>
      </c>
      <c r="L14" s="16">
        <v>5589</v>
      </c>
      <c r="M14" s="16">
        <v>95199241</v>
      </c>
      <c r="N14" s="16">
        <f>+F14-C14</f>
        <v>1217118279</v>
      </c>
    </row>
    <row r="15" spans="1:14" s="15" customFormat="1" ht="12.75">
      <c r="A15" s="17" t="s">
        <v>45</v>
      </c>
      <c r="B15" s="19"/>
      <c r="C15" s="16">
        <v>6414158</v>
      </c>
      <c r="D15" s="18">
        <v>2.62</v>
      </c>
      <c r="E15" s="18">
        <v>0.71</v>
      </c>
      <c r="F15" s="16">
        <v>23818071</v>
      </c>
      <c r="G15" s="15">
        <f t="shared" si="0"/>
        <v>26423504</v>
      </c>
      <c r="H15" s="15">
        <f t="shared" si="1"/>
        <v>2605433</v>
      </c>
      <c r="I15" s="16">
        <v>250512</v>
      </c>
      <c r="J15" s="16">
        <v>0</v>
      </c>
      <c r="K15" s="16">
        <f>2325070+15078843</f>
        <v>17403913</v>
      </c>
      <c r="L15" s="16">
        <v>0</v>
      </c>
      <c r="M15" s="16">
        <v>9019591</v>
      </c>
      <c r="N15" s="15">
        <f t="shared" si="2"/>
        <v>17403913</v>
      </c>
    </row>
    <row r="16" spans="1:14" s="16" customFormat="1" ht="12.75">
      <c r="A16" s="17" t="s">
        <v>19</v>
      </c>
      <c r="B16" s="19"/>
      <c r="C16" s="16">
        <v>39973017</v>
      </c>
      <c r="D16" s="18">
        <v>7.3</v>
      </c>
      <c r="E16" s="18">
        <v>0.15</v>
      </c>
      <c r="F16" s="16">
        <v>643603969</v>
      </c>
      <c r="G16" s="16">
        <f t="shared" si="0"/>
        <v>679108809</v>
      </c>
      <c r="H16" s="15">
        <f t="shared" si="1"/>
        <v>35504840</v>
      </c>
      <c r="I16" s="16">
        <v>2900949</v>
      </c>
      <c r="J16" s="16">
        <v>523303136</v>
      </c>
      <c r="K16" s="16">
        <f>11246680+31236522+5532477+31002097</f>
        <v>79017776</v>
      </c>
      <c r="L16" s="16">
        <v>2248346</v>
      </c>
      <c r="M16" s="16">
        <v>74539551</v>
      </c>
      <c r="N16" s="16">
        <f t="shared" si="2"/>
        <v>603630952</v>
      </c>
    </row>
    <row r="17" spans="1:14" s="25" customFormat="1" ht="12.75">
      <c r="A17" s="17" t="s">
        <v>33</v>
      </c>
      <c r="B17" s="17"/>
      <c r="C17" s="15">
        <v>6490166</v>
      </c>
      <c r="D17" s="24">
        <v>4.96</v>
      </c>
      <c r="E17" s="24">
        <v>0.1</v>
      </c>
      <c r="F17" s="15">
        <v>94572915</v>
      </c>
      <c r="G17" s="15">
        <f t="shared" si="0"/>
        <v>106435300</v>
      </c>
      <c r="H17" s="15">
        <f t="shared" si="1"/>
        <v>11862385</v>
      </c>
      <c r="I17" s="15">
        <v>154709</v>
      </c>
      <c r="J17" s="15">
        <v>84740176</v>
      </c>
      <c r="K17" s="15">
        <f>1634991+798632+995647</f>
        <v>3429270</v>
      </c>
      <c r="L17" s="15">
        <v>0</v>
      </c>
      <c r="M17" s="15">
        <v>18265854</v>
      </c>
      <c r="N17" s="15">
        <f t="shared" si="2"/>
        <v>88082749</v>
      </c>
    </row>
    <row r="18" spans="1:14" s="16" customFormat="1" ht="12.75">
      <c r="A18" s="17" t="s">
        <v>40</v>
      </c>
      <c r="B18" s="19"/>
      <c r="C18" s="16">
        <v>17788685</v>
      </c>
      <c r="D18" s="18">
        <v>5.24</v>
      </c>
      <c r="E18" s="18">
        <v>0.18</v>
      </c>
      <c r="F18" s="16">
        <v>292758118</v>
      </c>
      <c r="G18" s="16">
        <f t="shared" si="0"/>
        <v>327386914</v>
      </c>
      <c r="H18" s="15">
        <f t="shared" si="1"/>
        <v>34628796</v>
      </c>
      <c r="I18" s="16">
        <v>1532248</v>
      </c>
      <c r="J18" s="16">
        <v>273112225</v>
      </c>
      <c r="K18" s="16">
        <f>45698+1811510+0</f>
        <v>1857208</v>
      </c>
      <c r="L18" s="16">
        <v>0</v>
      </c>
      <c r="M18" s="16">
        <v>52417481</v>
      </c>
      <c r="N18" s="16">
        <f>+F18-C18</f>
        <v>274969433</v>
      </c>
    </row>
    <row r="19" spans="1:14" s="16" customFormat="1" ht="12.75">
      <c r="A19" s="17" t="s">
        <v>20</v>
      </c>
      <c r="B19" s="17"/>
      <c r="C19" s="16">
        <v>135443079</v>
      </c>
      <c r="D19" s="18">
        <v>6.54</v>
      </c>
      <c r="E19" s="18">
        <v>0.54</v>
      </c>
      <c r="F19" s="16">
        <v>1719511736</v>
      </c>
      <c r="G19" s="16">
        <f t="shared" si="0"/>
        <v>1794060714</v>
      </c>
      <c r="H19" s="15">
        <f t="shared" si="1"/>
        <v>74548978</v>
      </c>
      <c r="I19" s="16">
        <v>55342732</v>
      </c>
      <c r="J19" s="16">
        <v>1458825421</v>
      </c>
      <c r="K19" s="16">
        <f>2144042+43873799+19579137+50213415</f>
        <v>115810393</v>
      </c>
      <c r="L19" s="16">
        <v>435407</v>
      </c>
      <c r="M19" s="16">
        <v>218989493</v>
      </c>
      <c r="N19" s="16">
        <f t="shared" si="2"/>
        <v>1584068657</v>
      </c>
    </row>
    <row r="20" spans="1:14" s="16" customFormat="1" ht="12.75">
      <c r="A20" s="17" t="s">
        <v>21</v>
      </c>
      <c r="B20" s="17"/>
      <c r="C20" s="16">
        <v>20519671</v>
      </c>
      <c r="D20" s="18">
        <v>7.03</v>
      </c>
      <c r="E20" s="18">
        <v>0.15</v>
      </c>
      <c r="F20" s="16">
        <v>293581312</v>
      </c>
      <c r="G20" s="16">
        <f t="shared" si="0"/>
        <v>309188770</v>
      </c>
      <c r="H20" s="15">
        <f t="shared" si="1"/>
        <v>15607458</v>
      </c>
      <c r="I20" s="16">
        <v>5011822</v>
      </c>
      <c r="J20" s="16">
        <v>242134270</v>
      </c>
      <c r="K20" s="16">
        <f>2482121+11208678+4754228+13448917</f>
        <v>31893944</v>
      </c>
      <c r="L20" s="16">
        <v>185509</v>
      </c>
      <c r="M20" s="16">
        <v>34975047</v>
      </c>
      <c r="N20" s="16">
        <f t="shared" si="2"/>
        <v>273061641</v>
      </c>
    </row>
    <row r="21" spans="1:14" s="16" customFormat="1" ht="12.75">
      <c r="A21" s="17" t="s">
        <v>41</v>
      </c>
      <c r="B21" s="17"/>
      <c r="C21" s="16">
        <v>23627827</v>
      </c>
      <c r="D21" s="18">
        <v>10.95</v>
      </c>
      <c r="E21" s="18">
        <v>0.47</v>
      </c>
      <c r="F21" s="16">
        <v>390497211</v>
      </c>
      <c r="G21" s="16">
        <f t="shared" si="0"/>
        <v>396096596</v>
      </c>
      <c r="H21" s="15">
        <f t="shared" si="1"/>
        <v>5599385</v>
      </c>
      <c r="I21" s="16">
        <v>2480410</v>
      </c>
      <c r="J21" s="16">
        <v>303364193</v>
      </c>
      <c r="K21" s="16">
        <f>2435628+14549118+20563350+31353898</f>
        <v>68901994</v>
      </c>
      <c r="L21" s="16">
        <v>383402</v>
      </c>
      <c r="M21" s="16">
        <v>23447007</v>
      </c>
      <c r="N21" s="16">
        <f t="shared" si="2"/>
        <v>366869384</v>
      </c>
    </row>
    <row r="22" spans="1:14" s="16" customFormat="1" ht="12.75">
      <c r="A22" s="17" t="s">
        <v>34</v>
      </c>
      <c r="B22" s="17"/>
      <c r="C22" s="16">
        <v>1612409</v>
      </c>
      <c r="D22" s="18">
        <v>0.96</v>
      </c>
      <c r="E22" s="18">
        <v>0.06</v>
      </c>
      <c r="F22" s="16">
        <v>4181142</v>
      </c>
      <c r="G22" s="16">
        <f t="shared" si="0"/>
        <v>5155053</v>
      </c>
      <c r="H22" s="15">
        <f t="shared" si="1"/>
        <v>973911</v>
      </c>
      <c r="I22" s="16">
        <v>334934</v>
      </c>
      <c r="J22" s="16">
        <v>0</v>
      </c>
      <c r="K22" s="16">
        <f>264124+2304609+0</f>
        <v>2568733</v>
      </c>
      <c r="L22" s="16">
        <v>0</v>
      </c>
      <c r="M22" s="16">
        <v>2586320</v>
      </c>
      <c r="N22" s="16">
        <f t="shared" si="2"/>
        <v>2568733</v>
      </c>
    </row>
    <row r="23" spans="1:14" s="26" customFormat="1" ht="12.75">
      <c r="A23" s="17" t="s">
        <v>43</v>
      </c>
      <c r="B23" s="17"/>
      <c r="C23" s="16">
        <v>97174647</v>
      </c>
      <c r="D23" s="18">
        <v>10.75</v>
      </c>
      <c r="E23" s="18">
        <v>0.42</v>
      </c>
      <c r="F23" s="16">
        <v>1510417239</v>
      </c>
      <c r="G23" s="15">
        <f t="shared" si="0"/>
        <v>1519361293</v>
      </c>
      <c r="H23" s="15">
        <f t="shared" si="1"/>
        <v>8944054</v>
      </c>
      <c r="I23" s="16">
        <v>20986477</v>
      </c>
      <c r="J23" s="16">
        <v>1295425363</v>
      </c>
      <c r="K23" s="16">
        <f>4817473+53828251+10625106+35659070</f>
        <v>104929900</v>
      </c>
      <c r="L23" s="16">
        <v>298591</v>
      </c>
      <c r="M23" s="16">
        <v>118707439</v>
      </c>
      <c r="N23" s="16">
        <f t="shared" si="2"/>
        <v>1413242592</v>
      </c>
    </row>
    <row r="24" spans="1:14" s="26" customFormat="1" ht="12.75">
      <c r="A24" s="17" t="s">
        <v>22</v>
      </c>
      <c r="B24" s="17"/>
      <c r="C24" s="16">
        <v>14582606</v>
      </c>
      <c r="D24" s="18">
        <v>3.25</v>
      </c>
      <c r="E24" s="18">
        <v>0.45</v>
      </c>
      <c r="F24" s="16">
        <v>139138668</v>
      </c>
      <c r="G24" s="15">
        <f t="shared" si="0"/>
        <v>151793305</v>
      </c>
      <c r="H24" s="15">
        <f>G24-F24</f>
        <v>12654637</v>
      </c>
      <c r="I24" s="16">
        <v>9647950</v>
      </c>
      <c r="J24" s="16">
        <v>32100935</v>
      </c>
      <c r="K24" s="16">
        <f>4607361+47838579+961607+40872700</f>
        <v>94280247</v>
      </c>
      <c r="L24" s="16">
        <v>0</v>
      </c>
      <c r="M24" s="16">
        <v>25412123</v>
      </c>
      <c r="N24" s="16">
        <f>+F24-C24</f>
        <v>124556062</v>
      </c>
    </row>
    <row r="25" spans="1:14" s="15" customFormat="1" ht="12.75">
      <c r="A25" s="17" t="s">
        <v>51</v>
      </c>
      <c r="B25" s="17"/>
      <c r="C25" s="16">
        <v>1612409</v>
      </c>
      <c r="D25" s="18">
        <v>5.55</v>
      </c>
      <c r="E25" s="18">
        <v>0.17</v>
      </c>
      <c r="F25" s="16">
        <v>20505482</v>
      </c>
      <c r="G25" s="15">
        <f aca="true" t="shared" si="3" ref="G25:G32">+J25+K25+L25+M25</f>
        <v>21846190</v>
      </c>
      <c r="H25" s="15">
        <f aca="true" t="shared" si="4" ref="H25:H31">G25-F25</f>
        <v>1340708</v>
      </c>
      <c r="I25" s="16">
        <v>92089</v>
      </c>
      <c r="J25" s="16">
        <v>17753300</v>
      </c>
      <c r="K25" s="16">
        <f>54058+810453+296793</f>
        <v>1161304</v>
      </c>
      <c r="L25" s="16">
        <v>0</v>
      </c>
      <c r="M25" s="16">
        <v>2931586</v>
      </c>
      <c r="N25" s="15">
        <f t="shared" si="2"/>
        <v>18893073</v>
      </c>
    </row>
    <row r="26" spans="1:14" s="15" customFormat="1" ht="12.75">
      <c r="A26" s="17" t="s">
        <v>36</v>
      </c>
      <c r="B26" s="17"/>
      <c r="C26" s="16">
        <v>75590703</v>
      </c>
      <c r="D26" s="18">
        <v>9.72</v>
      </c>
      <c r="E26" s="18">
        <v>0.32</v>
      </c>
      <c r="F26" s="16">
        <v>1144146768</v>
      </c>
      <c r="G26" s="15">
        <f t="shared" si="3"/>
        <v>1149007574</v>
      </c>
      <c r="H26" s="15">
        <f t="shared" si="4"/>
        <v>4860806</v>
      </c>
      <c r="I26" s="16">
        <v>6945882</v>
      </c>
      <c r="J26" s="16">
        <v>1016097177</v>
      </c>
      <c r="K26" s="16">
        <f>8976119+18124616+1469884+23886144</f>
        <v>52456763</v>
      </c>
      <c r="L26" s="16">
        <v>10</v>
      </c>
      <c r="M26" s="16">
        <v>80453624</v>
      </c>
      <c r="N26" s="15">
        <f t="shared" si="2"/>
        <v>1068556065</v>
      </c>
    </row>
    <row r="27" spans="1:14" s="16" customFormat="1" ht="12.75">
      <c r="A27" s="17" t="s">
        <v>30</v>
      </c>
      <c r="B27" s="17"/>
      <c r="C27" s="16">
        <v>19358702</v>
      </c>
      <c r="D27" s="18">
        <v>12</v>
      </c>
      <c r="E27" s="18">
        <v>0.04</v>
      </c>
      <c r="F27" s="16">
        <v>323347268</v>
      </c>
      <c r="G27" s="16">
        <f t="shared" si="3"/>
        <v>325221009</v>
      </c>
      <c r="H27" s="15">
        <f t="shared" si="4"/>
        <v>1873741</v>
      </c>
      <c r="I27" s="16">
        <v>252243</v>
      </c>
      <c r="J27" s="16">
        <v>300173485</v>
      </c>
      <c r="K27" s="16">
        <f>338731+3466035+10315</f>
        <v>3815081</v>
      </c>
      <c r="L27" s="16">
        <v>0</v>
      </c>
      <c r="M27" s="16">
        <v>21232443</v>
      </c>
      <c r="N27" s="16">
        <f aca="true" t="shared" si="5" ref="N27:N32">+F27-C27</f>
        <v>303988566</v>
      </c>
    </row>
    <row r="28" spans="1:14" s="15" customFormat="1" ht="12.75">
      <c r="A28" s="17" t="s">
        <v>47</v>
      </c>
      <c r="B28" s="19"/>
      <c r="C28" s="16">
        <v>35296768</v>
      </c>
      <c r="D28" s="18">
        <v>8.68</v>
      </c>
      <c r="E28" s="18">
        <v>0.2</v>
      </c>
      <c r="F28" s="16">
        <v>580867735</v>
      </c>
      <c r="G28" s="15">
        <f>+J28+K28+L28+M28</f>
        <v>587980795</v>
      </c>
      <c r="H28" s="15">
        <f>G28-F28</f>
        <v>7113060</v>
      </c>
      <c r="I28" s="16">
        <v>10925518</v>
      </c>
      <c r="J28" s="16">
        <v>530466814</v>
      </c>
      <c r="K28" s="16">
        <f>443880+1874423+0+14737293</f>
        <v>17055596</v>
      </c>
      <c r="L28" s="16">
        <v>309039</v>
      </c>
      <c r="M28" s="16">
        <v>40149346</v>
      </c>
      <c r="N28" s="15">
        <f t="shared" si="5"/>
        <v>545570967</v>
      </c>
    </row>
    <row r="29" spans="1:14" s="15" customFormat="1" ht="12.75">
      <c r="A29" s="17" t="s">
        <v>44</v>
      </c>
      <c r="B29" s="19"/>
      <c r="C29" s="16">
        <v>65865331</v>
      </c>
      <c r="D29" s="18">
        <v>14.1</v>
      </c>
      <c r="E29" s="18">
        <v>0.28</v>
      </c>
      <c r="F29" s="16">
        <v>1098299184</v>
      </c>
      <c r="G29" s="15">
        <f t="shared" si="3"/>
        <v>1100089009</v>
      </c>
      <c r="H29" s="15">
        <f t="shared" si="4"/>
        <v>1789825</v>
      </c>
      <c r="I29" s="16">
        <v>8219758</v>
      </c>
      <c r="J29" s="16">
        <v>1021664274</v>
      </c>
      <c r="K29" s="16">
        <f>1000104+5578683+2230753+2583847</f>
        <v>11393387</v>
      </c>
      <c r="L29" s="16">
        <v>0</v>
      </c>
      <c r="M29" s="16">
        <v>67031348</v>
      </c>
      <c r="N29" s="15">
        <f t="shared" si="5"/>
        <v>1032433853</v>
      </c>
    </row>
    <row r="30" spans="1:14" s="16" customFormat="1" ht="12.75">
      <c r="A30" s="17" t="s">
        <v>23</v>
      </c>
      <c r="B30" s="17"/>
      <c r="C30" s="16">
        <v>16227722</v>
      </c>
      <c r="D30" s="18">
        <v>8.45</v>
      </c>
      <c r="E30" s="18">
        <v>0.22</v>
      </c>
      <c r="F30" s="16">
        <v>269379171</v>
      </c>
      <c r="G30" s="16">
        <f t="shared" si="3"/>
        <v>272088931</v>
      </c>
      <c r="H30" s="15">
        <f t="shared" si="4"/>
        <v>2709760</v>
      </c>
      <c r="I30" s="16">
        <v>13192906</v>
      </c>
      <c r="J30" s="16">
        <v>252135423</v>
      </c>
      <c r="K30" s="16">
        <f>647643+170558+255073</f>
        <v>1073274</v>
      </c>
      <c r="L30" s="16">
        <v>1523</v>
      </c>
      <c r="M30" s="16">
        <v>18878711</v>
      </c>
      <c r="N30" s="16">
        <f t="shared" si="5"/>
        <v>253151449</v>
      </c>
    </row>
    <row r="31" spans="1:14" s="15" customFormat="1" ht="12.75">
      <c r="A31" s="17" t="s">
        <v>52</v>
      </c>
      <c r="B31" s="17"/>
      <c r="C31" s="16">
        <v>6146516</v>
      </c>
      <c r="D31" s="18">
        <v>6.37</v>
      </c>
      <c r="E31" s="18">
        <v>0.5</v>
      </c>
      <c r="F31" s="16">
        <v>65711363</v>
      </c>
      <c r="G31" s="16">
        <f t="shared" si="3"/>
        <v>66509195</v>
      </c>
      <c r="H31" s="15">
        <f t="shared" si="4"/>
        <v>797832</v>
      </c>
      <c r="I31" s="16">
        <v>994625</v>
      </c>
      <c r="J31" s="16">
        <v>37135042</v>
      </c>
      <c r="K31" s="16">
        <f>2126104+4114734+9920156+6111010</f>
        <v>22272004</v>
      </c>
      <c r="L31" s="16">
        <v>208709</v>
      </c>
      <c r="M31" s="16">
        <v>6893440</v>
      </c>
      <c r="N31" s="16">
        <f t="shared" si="5"/>
        <v>59564847</v>
      </c>
    </row>
    <row r="32" spans="1:14" s="15" customFormat="1" ht="12.75">
      <c r="A32" s="17" t="s">
        <v>80</v>
      </c>
      <c r="B32" s="19"/>
      <c r="C32" s="16">
        <v>30774443</v>
      </c>
      <c r="D32" s="18">
        <v>11.01</v>
      </c>
      <c r="E32" s="18">
        <v>0.18</v>
      </c>
      <c r="F32" s="16">
        <v>515092987</v>
      </c>
      <c r="G32" s="16">
        <f t="shared" si="3"/>
        <v>530937052</v>
      </c>
      <c r="H32" s="15">
        <f>G32-F32</f>
        <v>15844065</v>
      </c>
      <c r="I32" s="16">
        <v>109977</v>
      </c>
      <c r="J32" s="16">
        <v>446086429</v>
      </c>
      <c r="K32" s="16">
        <v>38232115</v>
      </c>
      <c r="L32" s="16">
        <v>0</v>
      </c>
      <c r="M32" s="16">
        <v>46618508</v>
      </c>
      <c r="N32" s="16">
        <f t="shared" si="5"/>
        <v>484318544</v>
      </c>
    </row>
    <row r="33" spans="1:14" s="16" customFormat="1" ht="12.75">
      <c r="A33" s="17" t="s">
        <v>24</v>
      </c>
      <c r="B33" s="17"/>
      <c r="C33" s="16">
        <v>56383243</v>
      </c>
      <c r="D33" s="18">
        <v>9.92</v>
      </c>
      <c r="E33" s="18">
        <v>0.23</v>
      </c>
      <c r="F33" s="16">
        <v>871832461</v>
      </c>
      <c r="G33" s="15">
        <f>+J33+K33+L33+M33</f>
        <v>884035343</v>
      </c>
      <c r="H33" s="15">
        <f t="shared" si="1"/>
        <v>12202882</v>
      </c>
      <c r="I33" s="16">
        <v>7644919</v>
      </c>
      <c r="J33" s="16">
        <v>793289331</v>
      </c>
      <c r="K33" s="16">
        <f>698771+8352192+6579547+7216150</f>
        <v>22846660</v>
      </c>
      <c r="L33" s="16">
        <v>615</v>
      </c>
      <c r="M33" s="16">
        <v>67898737</v>
      </c>
      <c r="N33" s="16">
        <f t="shared" si="2"/>
        <v>815449218</v>
      </c>
    </row>
    <row r="34" spans="1:14" s="16" customFormat="1" ht="12.75">
      <c r="A34" s="27" t="s">
        <v>16</v>
      </c>
      <c r="B34" s="27"/>
      <c r="C34" s="28">
        <f>SUM(C8:C33)</f>
        <v>787134196</v>
      </c>
      <c r="D34" s="29"/>
      <c r="E34" s="29"/>
      <c r="F34" s="28">
        <f aca="true" t="shared" si="6" ref="F34:M34">SUM(F8:F33)</f>
        <v>11509087440</v>
      </c>
      <c r="G34" s="28">
        <f t="shared" si="6"/>
        <v>11796121546</v>
      </c>
      <c r="H34" s="28">
        <f t="shared" si="6"/>
        <v>287034106</v>
      </c>
      <c r="I34" s="28">
        <f t="shared" si="6"/>
        <v>202366234</v>
      </c>
      <c r="J34" s="28">
        <f t="shared" si="6"/>
        <v>9914432173</v>
      </c>
      <c r="K34" s="28">
        <f t="shared" si="6"/>
        <v>796396678</v>
      </c>
      <c r="L34" s="28">
        <f t="shared" si="6"/>
        <v>4127098</v>
      </c>
      <c r="M34" s="28">
        <f t="shared" si="6"/>
        <v>1081165597</v>
      </c>
      <c r="N34" s="16">
        <f>SUM(N8:N33)</f>
        <v>10721953244</v>
      </c>
    </row>
    <row r="35" spans="1:13" s="16" customFormat="1" ht="12.75">
      <c r="A35" s="30"/>
      <c r="B35" s="30"/>
      <c r="D35" s="18"/>
      <c r="E35" s="18"/>
      <c r="M35" s="23"/>
    </row>
    <row r="36" spans="1:14" s="15" customFormat="1" ht="12.75">
      <c r="A36" s="17" t="s">
        <v>18</v>
      </c>
      <c r="B36" s="17"/>
      <c r="C36" s="16">
        <v>2592920</v>
      </c>
      <c r="D36" s="18">
        <v>2.29</v>
      </c>
      <c r="E36" s="18">
        <v>0.14</v>
      </c>
      <c r="F36" s="16">
        <v>43453281</v>
      </c>
      <c r="G36" s="16">
        <f>+J36+K36+L36+M36</f>
        <v>50227325</v>
      </c>
      <c r="H36" s="15">
        <f>G36-F36</f>
        <v>6774044</v>
      </c>
      <c r="I36" s="16">
        <v>8832417</v>
      </c>
      <c r="J36" s="16">
        <v>40789304</v>
      </c>
      <c r="K36" s="16">
        <f>54490+16567</f>
        <v>71057</v>
      </c>
      <c r="L36" s="16">
        <v>0</v>
      </c>
      <c r="M36" s="16">
        <v>9366964</v>
      </c>
      <c r="N36" s="32">
        <f>+F36-C36</f>
        <v>40860361</v>
      </c>
    </row>
    <row r="37" spans="1:15" s="16" customFormat="1" ht="12.75">
      <c r="A37" s="31" t="s">
        <v>37</v>
      </c>
      <c r="B37" s="31"/>
      <c r="C37" s="28">
        <f aca="true" t="shared" si="7" ref="C37:H37">SUM(C36:C36)</f>
        <v>2592920</v>
      </c>
      <c r="D37" s="29"/>
      <c r="E37" s="29"/>
      <c r="F37" s="28">
        <f t="shared" si="7"/>
        <v>43453281</v>
      </c>
      <c r="G37" s="28">
        <f t="shared" si="7"/>
        <v>50227325</v>
      </c>
      <c r="H37" s="28">
        <f t="shared" si="7"/>
        <v>6774044</v>
      </c>
      <c r="I37" s="28">
        <f aca="true" t="shared" si="8" ref="I37:N37">SUM(I36:I36)</f>
        <v>8832417</v>
      </c>
      <c r="J37" s="28">
        <f t="shared" si="8"/>
        <v>40789304</v>
      </c>
      <c r="K37" s="28">
        <f t="shared" si="8"/>
        <v>71057</v>
      </c>
      <c r="L37" s="28">
        <f t="shared" si="8"/>
        <v>0</v>
      </c>
      <c r="M37" s="28">
        <f t="shared" si="8"/>
        <v>9366964</v>
      </c>
      <c r="N37" s="32">
        <f t="shared" si="8"/>
        <v>40860361</v>
      </c>
      <c r="O37" s="32"/>
    </row>
    <row r="38" spans="4:14" s="16" customFormat="1" ht="12.75">
      <c r="D38" s="18"/>
      <c r="E38" s="18"/>
      <c r="I38" s="15"/>
      <c r="J38" s="15"/>
      <c r="K38" s="15"/>
      <c r="M38" s="23"/>
      <c r="N38" s="32"/>
    </row>
    <row r="39" spans="1:14" s="16" customFormat="1" ht="12.75">
      <c r="A39" s="33" t="s">
        <v>9</v>
      </c>
      <c r="B39" s="33"/>
      <c r="C39" s="34">
        <f>C34+C37</f>
        <v>789727116</v>
      </c>
      <c r="D39" s="35"/>
      <c r="E39" s="35"/>
      <c r="F39" s="34">
        <f aca="true" t="shared" si="9" ref="F39:M39">F34+F37</f>
        <v>11552540721</v>
      </c>
      <c r="G39" s="34">
        <f t="shared" si="9"/>
        <v>11846348871</v>
      </c>
      <c r="H39" s="34">
        <f t="shared" si="9"/>
        <v>293808150</v>
      </c>
      <c r="I39" s="34">
        <f t="shared" si="9"/>
        <v>211198651</v>
      </c>
      <c r="J39" s="36">
        <f t="shared" si="9"/>
        <v>9955221477</v>
      </c>
      <c r="K39" s="36">
        <f t="shared" si="9"/>
        <v>796467735</v>
      </c>
      <c r="L39" s="34">
        <f t="shared" si="9"/>
        <v>4127098</v>
      </c>
      <c r="M39" s="34">
        <f t="shared" si="9"/>
        <v>1090532561</v>
      </c>
      <c r="N39" s="16">
        <f>+N34+N37</f>
        <v>10762813605</v>
      </c>
    </row>
    <row r="40" spans="1:13" s="16" customFormat="1" ht="11.25" customHeight="1">
      <c r="A40" s="37"/>
      <c r="B40" s="42"/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3"/>
    </row>
    <row r="41" spans="1:13" s="16" customFormat="1" ht="15" customHeight="1">
      <c r="A41" s="43" t="s">
        <v>83</v>
      </c>
      <c r="B41" s="80" t="s">
        <v>84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78"/>
    </row>
    <row r="42" spans="1:13" s="16" customFormat="1" ht="12.75" customHeight="1">
      <c r="A42" s="38"/>
      <c r="B42" s="80" t="s">
        <v>46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1"/>
    </row>
    <row r="43" spans="1:13" s="16" customFormat="1" ht="12.75" customHeight="1">
      <c r="A43" s="38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1"/>
    </row>
    <row r="44" spans="1:5" s="16" customFormat="1" ht="12.75">
      <c r="A44" s="38"/>
      <c r="B44" s="38"/>
      <c r="D44" s="18"/>
      <c r="E44" s="18"/>
    </row>
    <row r="45" spans="1:5" s="16" customFormat="1" ht="12.75">
      <c r="A45" s="38"/>
      <c r="B45" s="38"/>
      <c r="D45" s="18"/>
      <c r="E45" s="18"/>
    </row>
    <row r="46" spans="1:5" s="16" customFormat="1" ht="12.75">
      <c r="A46" s="23"/>
      <c r="B46" s="76"/>
      <c r="C46" s="76"/>
      <c r="D46" s="18"/>
      <c r="E46" s="18"/>
    </row>
    <row r="47" spans="1:5" s="16" customFormat="1" ht="12.75">
      <c r="A47" s="23"/>
      <c r="B47" s="17"/>
      <c r="C47" s="19"/>
      <c r="D47" s="18"/>
      <c r="E47" s="18"/>
    </row>
    <row r="48" spans="1:5" s="16" customFormat="1" ht="12.75">
      <c r="A48" s="23"/>
      <c r="B48" s="17"/>
      <c r="C48" s="17"/>
      <c r="D48" s="18"/>
      <c r="E48" s="18"/>
    </row>
    <row r="49" spans="1:6" s="16" customFormat="1" ht="12.75">
      <c r="A49" s="23"/>
      <c r="B49" s="17"/>
      <c r="C49" s="17"/>
      <c r="D49" s="18"/>
      <c r="E49" s="18"/>
      <c r="F49" s="16" t="s">
        <v>38</v>
      </c>
    </row>
    <row r="50" spans="2:5" s="16" customFormat="1" ht="12.75">
      <c r="B50" s="17"/>
      <c r="C50" s="17"/>
      <c r="D50" s="18"/>
      <c r="E50" s="18"/>
    </row>
    <row r="51" spans="2:5" s="16" customFormat="1" ht="12.75">
      <c r="B51" s="19"/>
      <c r="C51" s="19"/>
      <c r="D51" s="18"/>
      <c r="E51" s="18"/>
    </row>
    <row r="52" spans="4:5" s="16" customFormat="1" ht="12.75">
      <c r="D52" s="18"/>
      <c r="E52" s="18"/>
    </row>
    <row r="53" spans="4:5" s="16" customFormat="1" ht="12.75">
      <c r="D53" s="18"/>
      <c r="E53" s="18"/>
    </row>
    <row r="54" spans="4:5" s="16" customFormat="1" ht="12.75">
      <c r="D54" s="18"/>
      <c r="E54" s="18"/>
    </row>
    <row r="55" spans="4:5" s="16" customFormat="1" ht="12.75">
      <c r="D55" s="18"/>
      <c r="E55" s="18"/>
    </row>
    <row r="56" spans="4:5" s="16" customFormat="1" ht="12.75">
      <c r="D56" s="18"/>
      <c r="E56" s="18"/>
    </row>
    <row r="57" spans="4:5" s="16" customFormat="1" ht="12.75">
      <c r="D57" s="18"/>
      <c r="E57" s="18"/>
    </row>
    <row r="58" spans="4:5" s="16" customFormat="1" ht="12.75">
      <c r="D58" s="18"/>
      <c r="E58" s="18"/>
    </row>
    <row r="59" spans="4:5" s="16" customFormat="1" ht="12.75">
      <c r="D59" s="18"/>
      <c r="E59" s="18"/>
    </row>
    <row r="60" spans="4:5" s="16" customFormat="1" ht="12.75">
      <c r="D60" s="18"/>
      <c r="E60" s="18"/>
    </row>
    <row r="61" spans="4:5" s="16" customFormat="1" ht="12.75">
      <c r="D61" s="18"/>
      <c r="E61" s="18"/>
    </row>
    <row r="62" spans="4:5" s="16" customFormat="1" ht="12.75">
      <c r="D62" s="18"/>
      <c r="E62" s="18"/>
    </row>
    <row r="63" spans="4:5" s="16" customFormat="1" ht="12.75">
      <c r="D63" s="18"/>
      <c r="E63" s="18"/>
    </row>
    <row r="64" spans="4:5" s="16" customFormat="1" ht="12.75">
      <c r="D64" s="18"/>
      <c r="E64" s="18"/>
    </row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</sheetData>
  <mergeCells count="9">
    <mergeCell ref="B46:C46"/>
    <mergeCell ref="A13:B13"/>
    <mergeCell ref="D4:E4"/>
    <mergeCell ref="A8:B8"/>
    <mergeCell ref="B41:M41"/>
    <mergeCell ref="B42:M42"/>
    <mergeCell ref="B43:M43"/>
    <mergeCell ref="C40:M40"/>
    <mergeCell ref="A9:B9"/>
  </mergeCells>
  <printOptions/>
  <pageMargins left="0.7" right="0.3937007874015748" top="0.5905511811023623" bottom="0.1968503937007874" header="0.1968503937007874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38"/>
  <sheetViews>
    <sheetView zoomScale="90" zoomScaleNormal="90" workbookViewId="0" topLeftCell="A1">
      <selection activeCell="E12" sqref="E12"/>
    </sheetView>
  </sheetViews>
  <sheetFormatPr defaultColWidth="11.421875" defaultRowHeight="12.75"/>
  <cols>
    <col min="1" max="1" width="11.851562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ht="12.75">
      <c r="A1" s="39" t="s">
        <v>0</v>
      </c>
    </row>
    <row r="2" spans="1:11" ht="12.75">
      <c r="A2" s="70" t="s">
        <v>53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71" t="s">
        <v>78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2" ht="12.75">
      <c r="A5" s="44" t="s">
        <v>54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1" ht="12.75">
      <c r="A6" s="10" t="s">
        <v>2</v>
      </c>
      <c r="B6" s="46"/>
      <c r="C6" s="46"/>
      <c r="D6" s="47" t="s">
        <v>55</v>
      </c>
      <c r="E6" s="48"/>
      <c r="F6" s="49" t="s">
        <v>56</v>
      </c>
      <c r="G6" s="49" t="s">
        <v>7</v>
      </c>
      <c r="H6" s="50" t="s">
        <v>57</v>
      </c>
      <c r="I6" s="49" t="s">
        <v>56</v>
      </c>
      <c r="J6" s="49" t="s">
        <v>7</v>
      </c>
      <c r="K6" s="50" t="s">
        <v>57</v>
      </c>
    </row>
    <row r="7" spans="1:11" ht="12.75">
      <c r="A7" s="51"/>
      <c r="B7" s="51"/>
      <c r="C7" s="51"/>
      <c r="D7" s="5" t="s">
        <v>9</v>
      </c>
      <c r="E7" s="5" t="s">
        <v>10</v>
      </c>
      <c r="F7" s="52" t="s">
        <v>58</v>
      </c>
      <c r="G7" s="52" t="s">
        <v>59</v>
      </c>
      <c r="H7" s="52" t="s">
        <v>60</v>
      </c>
      <c r="I7" s="52" t="s">
        <v>61</v>
      </c>
      <c r="J7" s="52" t="s">
        <v>59</v>
      </c>
      <c r="K7" s="52" t="s">
        <v>60</v>
      </c>
    </row>
    <row r="8" spans="1:11" ht="12.75">
      <c r="A8" s="53"/>
      <c r="B8" s="53"/>
      <c r="C8" s="53"/>
      <c r="D8" s="53"/>
      <c r="E8" s="53"/>
      <c r="F8" s="54" t="s">
        <v>62</v>
      </c>
      <c r="G8" s="54" t="s">
        <v>63</v>
      </c>
      <c r="H8" s="54" t="s">
        <v>63</v>
      </c>
      <c r="I8" s="54" t="s">
        <v>3</v>
      </c>
      <c r="J8" s="55" t="s">
        <v>64</v>
      </c>
      <c r="K8" s="55" t="s">
        <v>64</v>
      </c>
    </row>
    <row r="9" spans="1:11" ht="12.75">
      <c r="A9" s="51"/>
      <c r="B9" s="51"/>
      <c r="C9" s="51"/>
      <c r="D9" s="56"/>
      <c r="E9" s="56"/>
      <c r="F9" s="57"/>
      <c r="G9" s="57"/>
      <c r="H9" s="57"/>
      <c r="I9" s="57"/>
      <c r="J9" s="58"/>
      <c r="K9" s="58"/>
    </row>
    <row r="10" spans="1:11" ht="12.75">
      <c r="A10" s="72" t="s">
        <v>81</v>
      </c>
      <c r="B10" s="51"/>
      <c r="C10" s="51"/>
      <c r="D10" s="59">
        <v>1.05</v>
      </c>
      <c r="E10" s="60">
        <v>0.003</v>
      </c>
      <c r="F10" s="61">
        <v>58636531</v>
      </c>
      <c r="G10" s="61">
        <f>57335701+1300830</f>
        <v>58636531</v>
      </c>
      <c r="H10" s="61">
        <f>G10-F10</f>
        <v>0</v>
      </c>
      <c r="I10" s="61">
        <v>56095877</v>
      </c>
      <c r="J10" s="61">
        <v>56183004</v>
      </c>
      <c r="K10" s="61">
        <f>J10-I10</f>
        <v>87127</v>
      </c>
    </row>
    <row r="11" spans="1:11" ht="12.75">
      <c r="A11" s="73" t="s">
        <v>82</v>
      </c>
      <c r="B11" s="51"/>
      <c r="C11" s="51"/>
      <c r="D11" s="59">
        <v>0.47</v>
      </c>
      <c r="E11" s="59">
        <v>0.02</v>
      </c>
      <c r="F11" s="61">
        <v>16700266</v>
      </c>
      <c r="G11" s="61">
        <f>534285+10070176+6095805</f>
        <v>16700266</v>
      </c>
      <c r="H11" s="61">
        <f>G11-F11</f>
        <v>0</v>
      </c>
      <c r="I11" s="61">
        <v>37176228</v>
      </c>
      <c r="J11" s="61">
        <v>37891353</v>
      </c>
      <c r="K11" s="61">
        <f>J11-I11</f>
        <v>715125</v>
      </c>
    </row>
    <row r="12" spans="4:12" s="51" customFormat="1" ht="12.75">
      <c r="D12" s="56"/>
      <c r="E12" s="56"/>
      <c r="F12" s="61"/>
      <c r="G12" s="61"/>
      <c r="H12" s="61"/>
      <c r="I12" s="61"/>
      <c r="J12" s="61"/>
      <c r="K12" s="61"/>
      <c r="L12"/>
    </row>
    <row r="13" spans="1:12" s="51" customFormat="1" ht="12.75">
      <c r="A13" s="44"/>
      <c r="B13" s="44"/>
      <c r="C13" s="44"/>
      <c r="D13" s="62"/>
      <c r="E13" s="62"/>
      <c r="F13" s="63"/>
      <c r="G13" s="63"/>
      <c r="H13" s="63"/>
      <c r="I13" s="63"/>
      <c r="J13" s="63"/>
      <c r="K13" s="63"/>
      <c r="L13"/>
    </row>
    <row r="14" spans="1:12" s="51" customFormat="1" ht="12.75">
      <c r="A14" s="64" t="s">
        <v>65</v>
      </c>
      <c r="B14" s="44"/>
      <c r="C14" s="44"/>
      <c r="D14" s="62"/>
      <c r="E14" s="62"/>
      <c r="F14" s="63"/>
      <c r="G14" s="63"/>
      <c r="H14" s="63"/>
      <c r="I14" s="63"/>
      <c r="J14" s="63"/>
      <c r="K14" s="63"/>
      <c r="L14"/>
    </row>
    <row r="15" spans="1:11" s="51" customFormat="1" ht="10.5">
      <c r="A15" s="10" t="s">
        <v>2</v>
      </c>
      <c r="B15" s="46"/>
      <c r="C15" s="46"/>
      <c r="D15" s="47" t="s">
        <v>55</v>
      </c>
      <c r="E15" s="65"/>
      <c r="F15" s="66" t="s">
        <v>66</v>
      </c>
      <c r="G15" s="66" t="s">
        <v>66</v>
      </c>
      <c r="H15" s="12" t="s">
        <v>67</v>
      </c>
      <c r="I15" s="12" t="s">
        <v>68</v>
      </c>
      <c r="J15" s="61"/>
      <c r="K15" s="61"/>
    </row>
    <row r="16" spans="1:12" ht="12.75">
      <c r="A16" s="51"/>
      <c r="B16" s="51"/>
      <c r="C16" s="51"/>
      <c r="D16" s="5" t="s">
        <v>9</v>
      </c>
      <c r="E16" s="5" t="s">
        <v>10</v>
      </c>
      <c r="F16" s="58" t="s">
        <v>69</v>
      </c>
      <c r="G16" s="58" t="s">
        <v>69</v>
      </c>
      <c r="H16" s="57" t="s">
        <v>70</v>
      </c>
      <c r="I16" s="57" t="s">
        <v>60</v>
      </c>
      <c r="J16" s="61"/>
      <c r="K16" s="61"/>
      <c r="L16" s="51"/>
    </row>
    <row r="17" spans="4:11" s="51" customFormat="1" ht="10.5">
      <c r="D17" s="56"/>
      <c r="E17" s="56"/>
      <c r="F17" s="58" t="s">
        <v>71</v>
      </c>
      <c r="G17" s="57" t="s">
        <v>72</v>
      </c>
      <c r="H17" s="58" t="s">
        <v>73</v>
      </c>
      <c r="I17" s="57" t="s">
        <v>74</v>
      </c>
      <c r="J17" s="61"/>
      <c r="K17" s="61"/>
    </row>
    <row r="18" spans="1:12" ht="12.75">
      <c r="A18" s="53"/>
      <c r="B18" s="53"/>
      <c r="C18" s="53"/>
      <c r="D18" s="67"/>
      <c r="E18" s="67"/>
      <c r="F18" s="68" t="s">
        <v>75</v>
      </c>
      <c r="G18" s="68" t="s">
        <v>76</v>
      </c>
      <c r="H18" s="68" t="s">
        <v>77</v>
      </c>
      <c r="I18" s="68" t="s">
        <v>77</v>
      </c>
      <c r="J18" s="61"/>
      <c r="K18" s="61"/>
      <c r="L18" s="51"/>
    </row>
    <row r="19" spans="1:11" ht="12.75">
      <c r="A19" s="51"/>
      <c r="B19" s="51"/>
      <c r="C19" s="44"/>
      <c r="D19" s="62"/>
      <c r="E19" s="62"/>
      <c r="F19" s="63"/>
      <c r="G19" s="63"/>
      <c r="H19" s="63"/>
      <c r="I19" s="63"/>
      <c r="J19" s="63"/>
      <c r="K19" s="63"/>
    </row>
    <row r="20" spans="1:12" ht="12.75">
      <c r="A20" s="74" t="s">
        <v>79</v>
      </c>
      <c r="B20" s="51"/>
      <c r="C20" s="51"/>
      <c r="D20" s="59">
        <v>1.58</v>
      </c>
      <c r="E20" s="59">
        <v>0.01</v>
      </c>
      <c r="F20" s="61">
        <v>52135441</v>
      </c>
      <c r="G20" s="61">
        <v>37598325</v>
      </c>
      <c r="H20" s="61">
        <v>90003627</v>
      </c>
      <c r="I20" s="61">
        <f>+H20-G20-F20</f>
        <v>269861</v>
      </c>
      <c r="J20" s="61"/>
      <c r="K20" s="61"/>
      <c r="L20" s="51"/>
    </row>
    <row r="21" spans="1:11" ht="12.75">
      <c r="A21" s="44"/>
      <c r="B21" s="44"/>
      <c r="C21" s="44"/>
      <c r="D21" s="62"/>
      <c r="E21" s="62"/>
      <c r="F21" s="63"/>
      <c r="G21" s="63"/>
      <c r="H21" s="63"/>
      <c r="I21" s="63"/>
      <c r="J21" s="63"/>
      <c r="K21" s="63"/>
    </row>
    <row r="22" spans="1:11" ht="12.75">
      <c r="A22" s="44"/>
      <c r="B22" s="44"/>
      <c r="C22" s="44"/>
      <c r="D22" s="62"/>
      <c r="E22" s="62"/>
      <c r="F22" s="63"/>
      <c r="G22" s="63"/>
      <c r="H22" s="63"/>
      <c r="I22" s="63"/>
      <c r="J22" s="63"/>
      <c r="K22" s="63"/>
    </row>
    <row r="23" spans="1:11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38" ht="12.75">
      <c r="A38">
        <f>22701586+55852</f>
        <v>22757438</v>
      </c>
    </row>
  </sheetData>
  <printOptions/>
  <pageMargins left="0.76" right="0.51" top="1" bottom="1" header="0" footer="0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2006-06-20T19:27:17Z</cp:lastPrinted>
  <dcterms:created xsi:type="dcterms:W3CDTF">1998-12-29T20:15:03Z</dcterms:created>
  <dcterms:modified xsi:type="dcterms:W3CDTF">2006-06-20T19:27:19Z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