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CUMPV" sheetId="1" r:id="rId1"/>
    <sheet name="CMUTUAL" sheetId="2" r:id="rId2"/>
  </sheets>
  <definedNames>
    <definedName name="_xlnm.Print_Area" localSheetId="1">'CMUTUAL'!$A$1:$K$23</definedName>
    <definedName name="_xlnm.Print_Area" localSheetId="0">'CUMPV'!$A$1:$M$43</definedName>
  </definedNames>
  <calcPr fullCalcOnLoad="1"/>
</workbook>
</file>

<file path=xl/sharedStrings.xml><?xml version="1.0" encoding="utf-8"?>
<sst xmlns="http://schemas.openxmlformats.org/spreadsheetml/2006/main" count="113" uniqueCount="86">
  <si>
    <t>CUMPLIMIENTO DE NORMAS</t>
  </si>
  <si>
    <t>SEGUROS DE VIDA</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</si>
  <si>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</si>
  <si>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</si>
  <si>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</si>
  <si>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</si>
  <si>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</si>
  <si>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</si>
  <si>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</si>
  <si>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</si>
  <si>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</si>
  <si>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</si>
  <si>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</si>
  <si>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</si>
  <si>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</si>
  <si>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</si>
  <si>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 xml:space="preserve">TOTAL ASEGURADORAS    </t>
  </si>
  <si>
    <t>ENDEUDAMIENTO</t>
  </si>
  <si>
    <t>Caja Reaseguradora</t>
  </si>
  <si>
    <t>Chilena Consolidada</t>
  </si>
  <si>
    <t>Consorcio Nacional</t>
  </si>
  <si>
    <t>Cruz del Sur</t>
  </si>
  <si>
    <t>Interamericana</t>
  </si>
  <si>
    <t>Renta Nacional</t>
  </si>
  <si>
    <t xml:space="preserve">Vida Corp  </t>
  </si>
  <si>
    <t>PAT. RIESGO</t>
  </si>
  <si>
    <t>RES. PREVIS.</t>
  </si>
  <si>
    <t>RES. NO PREVIS.</t>
  </si>
  <si>
    <t>RES. ADIC.</t>
  </si>
  <si>
    <t>INVERSIONES NO</t>
  </si>
  <si>
    <t>Ohio National</t>
  </si>
  <si>
    <t>BBVA</t>
  </si>
  <si>
    <t xml:space="preserve">Cigna   </t>
  </si>
  <si>
    <t xml:space="preserve">Huelén </t>
  </si>
  <si>
    <t>Banchile</t>
  </si>
  <si>
    <t>Met Life</t>
  </si>
  <si>
    <t>TOTAL REASEGURADORAS</t>
  </si>
  <si>
    <t xml:space="preserve">  </t>
  </si>
  <si>
    <t>CN Life</t>
  </si>
  <si>
    <t xml:space="preserve">Euroamérica </t>
  </si>
  <si>
    <t>Bci</t>
  </si>
  <si>
    <t xml:space="preserve">ING </t>
  </si>
  <si>
    <t>Principal</t>
  </si>
  <si>
    <t xml:space="preserve">Cardif   </t>
  </si>
  <si>
    <t>Penta</t>
  </si>
  <si>
    <t xml:space="preserve">ABN Amro </t>
  </si>
  <si>
    <t xml:space="preserve">Ace </t>
  </si>
  <si>
    <t>Bice</t>
  </si>
  <si>
    <t xml:space="preserve">Mapfre  </t>
  </si>
  <si>
    <t xml:space="preserve">Security Previsión </t>
  </si>
  <si>
    <t>Security Rentas</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</si>
  <si>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</si>
  <si>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</si>
  <si>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</si>
  <si>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</si>
  <si>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</si>
  <si>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</si>
  <si>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</si>
  <si>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</si>
  <si>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</si>
  <si>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</si>
  <si>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</si>
  <si>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</si>
  <si>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VENTAS INSTITUCIONALES Y NO INSTITUCIONALES SIMULTANEAMENTE</t>
  </si>
  <si>
    <t xml:space="preserve">OBLIGACION DE </t>
  </si>
  <si>
    <t xml:space="preserve">INVERSIONES </t>
  </si>
  <si>
    <t>SUPERAVIT (DEFICIT)</t>
  </si>
  <si>
    <t xml:space="preserve"> INV.LAS R.TEC.</t>
  </si>
  <si>
    <t>TOTALES</t>
  </si>
  <si>
    <t>Y  PAT.RIESGO</t>
  </si>
  <si>
    <t>Y  PATRIMONIO</t>
  </si>
  <si>
    <t>REPRES.DE R.TECN.</t>
  </si>
  <si>
    <t>DE RES.TECNICAS</t>
  </si>
  <si>
    <t>VENTAS NO INST.</t>
  </si>
  <si>
    <t>VENTAS INST.</t>
  </si>
  <si>
    <t>Y PATRIMONIO</t>
  </si>
  <si>
    <t>1)</t>
  </si>
  <si>
    <t>Por resolución Nº352 del 10.08.06 de esta Superintendencia, se aprobó el cambio de nombre de Altavida Santander Seguros de Vida S.A. por el de Santander Seguros de Vida S.A.</t>
  </si>
  <si>
    <t>MUTUALIDAD DE CARABINEROS</t>
  </si>
  <si>
    <t>MUTUALIDAD DEL EJERCITO Y AVIACION</t>
  </si>
  <si>
    <t>MUTUAL DE SEGUROS</t>
  </si>
  <si>
    <t>(al 31 de diciembre de 2006, montos expresados en miles de pesos)</t>
  </si>
  <si>
    <t>Santander (2)</t>
  </si>
  <si>
    <t>2)</t>
  </si>
  <si>
    <t>CLC (1)</t>
  </si>
  <si>
    <t>La compañía presenta déficit de inversiones representativas de Reservas Técnicas y Patrimonio de Riesgo ascendente a M$1.681.867, situación producida por la contabilización de las obligaciones y reservas derivadas de un contrato de traspaso de cartera celebrado con la compañía de seguros de vida ING, como también por mantener un exceso de inversión en instrumentos de renta fija emitidos por un solo emisor. De acuerdo a lo informado por la compañía, dicha situación se encuentra corregida.</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</si>
</sst>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 &quot;$&quot;_);\(#,##0\ &quot;$&quot;\)"/>
    <numFmt numFmtId="209" formatCode="#,##0\ &quot;$&quot;_);[Red]\(#,##0\ &quot;$&quot;\)"/>
    <numFmt numFmtId="210" formatCode="#,##0.00\ &quot;$&quot;_);\(#,##0.00\ &quot;$&quot;\)"/>
    <numFmt numFmtId="211" formatCode="#,##0.00\ &quot;$&quot;_);[Red]\(#,##0.00\ &quot;$&quot;\)"/>
    <numFmt numFmtId="212" formatCode="_ * #,##0_)\ &quot;$&quot;_ ;_ * \(#,##0\)\ &quot;$&quot;_ ;_ * &quot;-&quot;_)\ &quot;$&quot;_ ;_ @_ "/>
    <numFmt numFmtId="213" formatCode="_ * #,##0_)\ _$_ ;_ * \(#,##0\)\ _$_ ;_ * &quot;-&quot;_)\ _$_ ;_ @_ "/>
    <numFmt numFmtId="214" formatCode="_ * #,##0.00_)\ &quot;$&quot;_ ;_ * \(#,##0.00\)\ &quot;$&quot;_ ;_ * &quot;-&quot;??_)\ &quot;$&quot;_ ;_ @_ "/>
    <numFmt numFmtId="215" formatCode="_ * #,##0.00_)\ _$_ ;_ * \(#,##0.00\)\ _$_ ;_ * &quot;-&quot;??_)\ _$_ ;_ @_ "/>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0000"/>
    <numFmt numFmtId="222" formatCode="0.0000000"/>
    <numFmt numFmtId="223" formatCode="0.000000"/>
    <numFmt numFmtId="224" formatCode="0.00000"/>
    <numFmt numFmtId="225" formatCode="0.0000"/>
    <numFmt numFmtId="226" formatCode="#,##0.0"/>
  </numFmts>
  <fonts count="10">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2"/>
    </font>
    <font>
      <sz val="10"/>
      <color indexed="10"/>
      <name val="MS Sans Serif"/>
      <family val="2"/>
    </font>
    <font>
      <u val="single"/>
      <sz val="8"/>
      <color indexed="12"/>
      <name val="MS Sans Serif"/>
      <family val="0"/>
    </font>
    <font>
      <u val="single"/>
      <sz val="8"/>
      <color indexed="36"/>
      <name val="MS Sans Serif"/>
      <family val="0"/>
    </font>
    <font>
      <sz val="10"/>
      <name val="Times New Roman"/>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 fontId="0" fillId="0" borderId="0" xfId="0" applyNumberFormat="1" applyAlignment="1">
      <alignment horizontal="right"/>
    </xf>
    <xf numFmtId="3" fontId="4" fillId="0" borderId="0" xfId="0" applyNumberFormat="1" applyFont="1" applyAlignment="1" quotePrefix="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applyAlignment="1" quotePrefix="1">
      <alignment horizontal="right"/>
    </xf>
    <xf numFmtId="3" fontId="0" fillId="0" borderId="2" xfId="0" applyNumberFormat="1" applyBorder="1" applyAlignment="1">
      <alignment horizontal="right"/>
    </xf>
    <xf numFmtId="3" fontId="4" fillId="0" borderId="0" xfId="0" applyNumberFormat="1" applyFont="1" applyBorder="1" applyAlignment="1" quotePrefix="1">
      <alignment horizontal="center"/>
    </xf>
    <xf numFmtId="3" fontId="4" fillId="0" borderId="1" xfId="0" applyNumberFormat="1" applyFont="1" applyBorder="1" applyAlignment="1">
      <alignment horizontal="left"/>
    </xf>
    <xf numFmtId="3" fontId="0" fillId="0" borderId="0" xfId="0" applyNumberFormat="1" applyFont="1" applyAlignment="1" quotePrefix="1">
      <alignment horizontal="left"/>
    </xf>
    <xf numFmtId="3" fontId="4" fillId="0" borderId="1" xfId="0" applyNumberFormat="1" applyFont="1" applyBorder="1" applyAlignment="1">
      <alignment horizontal="center"/>
    </xf>
    <xf numFmtId="3" fontId="4"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4" fillId="0" borderId="2" xfId="0" applyNumberFormat="1" applyFont="1" applyBorder="1" applyAlignment="1" quotePrefix="1">
      <alignment horizontal="right"/>
    </xf>
    <xf numFmtId="3" fontId="4" fillId="0" borderId="2" xfId="0" applyNumberFormat="1" applyFont="1" applyBorder="1" applyAlignment="1" quotePrefix="1">
      <alignment horizontal="center"/>
    </xf>
    <xf numFmtId="3" fontId="4" fillId="0" borderId="2" xfId="0" applyNumberFormat="1" applyFont="1" applyBorder="1" applyAlignment="1">
      <alignment horizontal="right"/>
    </xf>
    <xf numFmtId="3" fontId="0" fillId="0" borderId="0" xfId="0" applyNumberFormat="1" applyFill="1" applyAlignment="1">
      <alignment horizontal="left"/>
    </xf>
    <xf numFmtId="4" fontId="0" fillId="0" borderId="0" xfId="0" applyNumberFormat="1" applyFont="1" applyFill="1" applyAlignment="1">
      <alignment horizontal="right"/>
    </xf>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0" fillId="0" borderId="2" xfId="0" applyNumberFormat="1" applyFont="1" applyFill="1" applyBorder="1" applyAlignment="1">
      <alignment horizontal="left"/>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3" fontId="0" fillId="0" borderId="2" xfId="0" applyNumberFormat="1" applyFont="1" applyFill="1" applyBorder="1" applyAlignment="1">
      <alignment horizontal="right"/>
    </xf>
    <xf numFmtId="3" fontId="5" fillId="0" borderId="0" xfId="0" applyNumberFormat="1" applyFont="1" applyFill="1" applyAlignment="1">
      <alignment horizontal="left" vertical="top"/>
    </xf>
    <xf numFmtId="3" fontId="0" fillId="0" borderId="0" xfId="0" applyNumberFormat="1" applyFill="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0" fontId="4" fillId="0" borderId="0" xfId="0" applyFont="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2" fontId="4" fillId="0" borderId="3" xfId="0" applyNumberFormat="1" applyFont="1" applyBorder="1" applyAlignment="1">
      <alignment horizontal="center"/>
    </xf>
    <xf numFmtId="0" fontId="9" fillId="0" borderId="0" xfId="0" applyFont="1" applyBorder="1" applyAlignment="1">
      <alignment/>
    </xf>
    <xf numFmtId="0" fontId="0" fillId="0" borderId="0" xfId="0" applyFont="1" applyAlignment="1">
      <alignment/>
    </xf>
    <xf numFmtId="0" fontId="4" fillId="0" borderId="1" xfId="0" applyFont="1" applyBorder="1" applyAlignment="1">
      <alignment/>
    </xf>
    <xf numFmtId="3" fontId="4" fillId="0" borderId="3" xfId="0" applyNumberFormat="1" applyFont="1" applyBorder="1" applyAlignment="1" quotePrefix="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1" xfId="0" applyFont="1" applyBorder="1" applyAlignment="1" quotePrefix="1">
      <alignment horizontal="center"/>
    </xf>
    <xf numFmtId="0" fontId="4" fillId="0" borderId="0" xfId="0" applyFont="1" applyAlignment="1">
      <alignment horizontal="center"/>
    </xf>
    <xf numFmtId="0" fontId="4" fillId="0" borderId="2" xfId="0" applyFont="1" applyBorder="1" applyAlignment="1">
      <alignment/>
    </xf>
    <xf numFmtId="0" fontId="4" fillId="0" borderId="2" xfId="0" applyFont="1" applyBorder="1" applyAlignment="1">
      <alignment horizontal="center"/>
    </xf>
    <xf numFmtId="0" fontId="4" fillId="0" borderId="2" xfId="0" applyFont="1" applyBorder="1" applyAlignment="1" quotePrefix="1">
      <alignment horizontal="center"/>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2" fontId="4" fillId="0" borderId="0" xfId="0" applyNumberFormat="1" applyFont="1" applyAlignment="1">
      <alignment horizontal="center"/>
    </xf>
    <xf numFmtId="0" fontId="4" fillId="0" borderId="0" xfId="0" applyNumberFormat="1" applyFont="1" applyAlignment="1">
      <alignment horizontal="center"/>
    </xf>
    <xf numFmtId="3"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3" fontId="4" fillId="0" borderId="1" xfId="0" applyNumberFormat="1" applyFont="1" applyBorder="1" applyAlignment="1" quotePrefix="1">
      <alignment horizontal="center"/>
    </xf>
    <xf numFmtId="2" fontId="4" fillId="0" borderId="2" xfId="0" applyNumberFormat="1" applyFont="1" applyBorder="1" applyAlignment="1">
      <alignment/>
    </xf>
    <xf numFmtId="3" fontId="4" fillId="0" borderId="2" xfId="0" applyNumberFormat="1" applyFont="1" applyBorder="1" applyAlignment="1">
      <alignment horizontal="center"/>
    </xf>
    <xf numFmtId="0" fontId="9" fillId="0" borderId="0" xfId="0" applyFont="1" applyAlignment="1">
      <alignment/>
    </xf>
    <xf numFmtId="3" fontId="4" fillId="0" borderId="0" xfId="0" applyNumberFormat="1" applyFont="1" applyAlignment="1">
      <alignment horizontal="right" vertical="center"/>
    </xf>
    <xf numFmtId="0" fontId="0" fillId="0" borderId="0" xfId="0" applyAlignment="1" quotePrefix="1">
      <alignment horizontal="left"/>
    </xf>
    <xf numFmtId="0" fontId="4" fillId="0" borderId="0" xfId="0" applyFont="1" applyAlignment="1" quotePrefix="1">
      <alignment horizontal="left"/>
    </xf>
    <xf numFmtId="0" fontId="1" fillId="0" borderId="0" xfId="0" applyFont="1" applyAlignment="1">
      <alignment/>
    </xf>
    <xf numFmtId="3" fontId="5" fillId="0" borderId="0" xfId="0" applyNumberFormat="1" applyFont="1" applyAlignment="1">
      <alignment horizontal="justify" vertical="top" wrapText="1"/>
    </xf>
    <xf numFmtId="3" fontId="0" fillId="0" borderId="0" xfId="0" applyNumberFormat="1" applyFont="1" applyFill="1" applyAlignment="1" quotePrefix="1">
      <alignment horizontal="left"/>
    </xf>
    <xf numFmtId="0" fontId="0" fillId="0" borderId="0" xfId="0" applyFill="1" applyAlignment="1">
      <alignment horizontal="left"/>
    </xf>
    <xf numFmtId="3" fontId="4" fillId="0" borderId="3" xfId="0" applyNumberFormat="1" applyFont="1" applyBorder="1" applyAlignment="1" quotePrefix="1">
      <alignment horizontal="center"/>
    </xf>
    <xf numFmtId="3" fontId="0" fillId="0" borderId="0" xfId="0" applyNumberFormat="1" applyFill="1" applyAlignment="1">
      <alignment horizontal="left"/>
    </xf>
    <xf numFmtId="3" fontId="5" fillId="0" borderId="0" xfId="0" applyNumberFormat="1" applyFont="1" applyFill="1" applyAlignment="1">
      <alignment horizontal="justify" vertical="top" wrapText="1"/>
    </xf>
    <xf numFmtId="0" fontId="0" fillId="0" borderId="0" xfId="0" applyFill="1" applyAlignment="1">
      <alignment horizontal="justify"/>
    </xf>
    <xf numFmtId="3" fontId="5" fillId="0" borderId="0" xfId="0" applyNumberFormat="1" applyFont="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63"/>
  <sheetViews>
    <sheetView tabSelected="1" zoomScale="80" zoomScaleNormal="80" workbookViewId="0" topLeftCell="A1">
      <selection activeCell="A1" sqref="A1"/>
    </sheetView>
  </sheetViews>
  <sheetFormatPr defaultColWidth="11.421875" defaultRowHeight="12.75"/>
  <cols>
    <col min="1" max="1" width="2.57421875" style="1" customWidth="1"/>
    <col min="2" max="2" width="22.421875" style="1" customWidth="1"/>
    <col min="3" max="3" width="12.140625" style="1" bestFit="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5.7109375" style="1" customWidth="1"/>
    <col min="11" max="11" width="16.28125" style="1" customWidth="1"/>
    <col min="12" max="12" width="15.140625" style="1" customWidth="1"/>
    <col min="13" max="13" width="14.28125" style="1" customWidth="1"/>
    <col min="14" max="14" width="14.57421875" style="1" bestFit="1" customWidth="1"/>
    <col min="15" max="16384" width="11.421875" style="1" customWidth="1"/>
  </cols>
  <sheetData>
    <row r="1" spans="1:5" ht="12.75">
      <c r="A1" s="39" t="s">
        <v>0</v>
      </c>
      <c r="B1" s="39"/>
      <c r="C1" s="40"/>
      <c r="D1" s="40"/>
      <c r="E1" s="14"/>
    </row>
    <row r="2" spans="1:4" ht="12.75">
      <c r="A2" s="41" t="s">
        <v>1</v>
      </c>
      <c r="B2" s="41"/>
      <c r="C2" s="40"/>
      <c r="D2" s="40"/>
    </row>
    <row r="3" spans="1:13" ht="12.75">
      <c r="A3" s="11" t="s">
        <v>81</v>
      </c>
      <c r="B3" s="41"/>
      <c r="C3" s="40"/>
      <c r="D3" s="40"/>
      <c r="M3" s="8"/>
    </row>
    <row r="4" spans="1:14" ht="12.75">
      <c r="A4" s="10" t="s">
        <v>2</v>
      </c>
      <c r="B4" s="10"/>
      <c r="C4" s="6" t="s">
        <v>3</v>
      </c>
      <c r="D4" s="77" t="s">
        <v>17</v>
      </c>
      <c r="E4" s="77"/>
      <c r="F4" s="6" t="s">
        <v>4</v>
      </c>
      <c r="G4" s="7" t="s">
        <v>5</v>
      </c>
      <c r="H4" s="7" t="s">
        <v>6</v>
      </c>
      <c r="I4" s="6" t="s">
        <v>29</v>
      </c>
      <c r="J4" s="6" t="s">
        <v>7</v>
      </c>
      <c r="K4" s="6" t="s">
        <v>7</v>
      </c>
      <c r="L4" s="6" t="s">
        <v>7</v>
      </c>
      <c r="M4" s="6" t="s">
        <v>7</v>
      </c>
      <c r="N4" s="14"/>
    </row>
    <row r="5" spans="1:14" ht="12.75">
      <c r="A5" s="3"/>
      <c r="B5" s="3"/>
      <c r="C5" s="4" t="s">
        <v>8</v>
      </c>
      <c r="D5" s="5" t="s">
        <v>9</v>
      </c>
      <c r="E5" s="5" t="s">
        <v>10</v>
      </c>
      <c r="F5" s="4" t="s">
        <v>11</v>
      </c>
      <c r="G5" s="2" t="s">
        <v>12</v>
      </c>
      <c r="H5" s="5" t="s">
        <v>13</v>
      </c>
      <c r="I5" s="5" t="s">
        <v>14</v>
      </c>
      <c r="J5" s="5" t="s">
        <v>26</v>
      </c>
      <c r="K5" s="5" t="s">
        <v>27</v>
      </c>
      <c r="L5" s="70" t="s">
        <v>28</v>
      </c>
      <c r="M5" s="13" t="s">
        <v>25</v>
      </c>
      <c r="N5" s="14"/>
    </row>
    <row r="6" spans="1:13" ht="12.75">
      <c r="A6" s="8"/>
      <c r="B6" s="8"/>
      <c r="C6" s="8"/>
      <c r="D6" s="8"/>
      <c r="E6" s="8"/>
      <c r="F6" s="20" t="s">
        <v>15</v>
      </c>
      <c r="G6" s="21" t="s">
        <v>8</v>
      </c>
      <c r="H6" s="20" t="s">
        <v>15</v>
      </c>
      <c r="I6" s="22"/>
      <c r="J6" s="8"/>
      <c r="K6" s="8"/>
      <c r="L6" s="8"/>
      <c r="M6" s="8"/>
    </row>
    <row r="7" spans="1:13" ht="12.75">
      <c r="A7" s="3"/>
      <c r="B7" s="3"/>
      <c r="C7" s="3"/>
      <c r="D7" s="3"/>
      <c r="E7" s="3"/>
      <c r="F7" s="4"/>
      <c r="G7" s="9"/>
      <c r="H7" s="4"/>
      <c r="I7" s="5"/>
      <c r="J7" s="3"/>
      <c r="K7" s="3"/>
      <c r="L7" s="3"/>
      <c r="M7" s="3"/>
    </row>
    <row r="8" spans="1:13" s="16" customFormat="1" ht="12.75">
      <c r="A8" s="78" t="s">
        <v>45</v>
      </c>
      <c r="B8" s="78"/>
      <c r="C8" s="16">
        <v>1650274</v>
      </c>
      <c r="D8" s="18">
        <v>0.29</v>
      </c>
      <c r="E8" s="18">
        <v>0.21</v>
      </c>
      <c r="F8" s="16">
        <v>1827445</v>
      </c>
      <c r="G8" s="16">
        <f aca="true" t="shared" si="0" ref="G8:G24">+J8+K8+L8+M8</f>
        <v>2103750</v>
      </c>
      <c r="H8" s="15">
        <f aca="true" t="shared" si="1" ref="H8:H34">G8-F8</f>
        <v>276305</v>
      </c>
      <c r="I8" s="16">
        <v>5415</v>
      </c>
      <c r="J8" s="16">
        <v>0</v>
      </c>
      <c r="K8" s="16">
        <v>177171</v>
      </c>
      <c r="L8" s="16">
        <v>0</v>
      </c>
      <c r="M8" s="16">
        <v>1926579</v>
      </c>
    </row>
    <row r="9" spans="1:13" s="16" customFormat="1" ht="12.75">
      <c r="A9" s="78" t="s">
        <v>46</v>
      </c>
      <c r="B9" s="78"/>
      <c r="C9" s="16">
        <v>1650274</v>
      </c>
      <c r="D9" s="18">
        <v>0.4</v>
      </c>
      <c r="E9" s="18">
        <v>0.4</v>
      </c>
      <c r="F9" s="16">
        <v>1652606</v>
      </c>
      <c r="G9" s="16">
        <f t="shared" si="0"/>
        <v>2399019</v>
      </c>
      <c r="H9" s="15">
        <f>G9-F9</f>
        <v>746413</v>
      </c>
      <c r="I9" s="16">
        <v>37649</v>
      </c>
      <c r="J9" s="16">
        <v>0</v>
      </c>
      <c r="K9" s="16">
        <v>2332</v>
      </c>
      <c r="L9" s="16">
        <v>0</v>
      </c>
      <c r="M9" s="16">
        <v>2396687</v>
      </c>
    </row>
    <row r="10" spans="1:14" s="15" customFormat="1" ht="12.75">
      <c r="A10" s="17" t="s">
        <v>34</v>
      </c>
      <c r="B10" s="17"/>
      <c r="C10" s="16">
        <v>5110877</v>
      </c>
      <c r="D10" s="18">
        <v>2.27</v>
      </c>
      <c r="E10" s="18">
        <v>0.58</v>
      </c>
      <c r="F10" s="16">
        <v>20281591</v>
      </c>
      <c r="G10" s="15">
        <f t="shared" si="0"/>
        <v>24939743</v>
      </c>
      <c r="H10" s="15">
        <f t="shared" si="1"/>
        <v>4658152</v>
      </c>
      <c r="I10" s="16">
        <v>922234</v>
      </c>
      <c r="J10" s="16">
        <v>0</v>
      </c>
      <c r="K10" s="16">
        <f>2079676+12669081+10731+453663</f>
        <v>15213151</v>
      </c>
      <c r="L10" s="16">
        <v>0</v>
      </c>
      <c r="M10" s="16">
        <v>9726592</v>
      </c>
      <c r="N10" s="16"/>
    </row>
    <row r="11" spans="1:13" s="16" customFormat="1" ht="12.75">
      <c r="A11" s="17" t="s">
        <v>31</v>
      </c>
      <c r="B11" s="17"/>
      <c r="C11" s="16">
        <v>7589550</v>
      </c>
      <c r="D11" s="18">
        <v>6.72</v>
      </c>
      <c r="E11" s="18">
        <v>0.18</v>
      </c>
      <c r="F11" s="16">
        <v>121895706</v>
      </c>
      <c r="G11" s="15">
        <f t="shared" si="0"/>
        <v>131826532</v>
      </c>
      <c r="H11" s="15">
        <f>G11-F11</f>
        <v>9930826</v>
      </c>
      <c r="I11" s="16">
        <v>2010688</v>
      </c>
      <c r="J11" s="16">
        <v>109196773</v>
      </c>
      <c r="K11" s="16">
        <f>582268+4527115</f>
        <v>5109383</v>
      </c>
      <c r="L11" s="16">
        <v>0</v>
      </c>
      <c r="M11" s="16">
        <v>17520376</v>
      </c>
    </row>
    <row r="12" spans="1:13" s="16" customFormat="1" ht="12.75">
      <c r="A12" s="17" t="s">
        <v>47</v>
      </c>
      <c r="B12" s="17"/>
      <c r="C12" s="16">
        <v>84646611</v>
      </c>
      <c r="D12" s="18">
        <v>8.47</v>
      </c>
      <c r="E12" s="18">
        <v>0.54</v>
      </c>
      <c r="F12" s="16">
        <v>1330523226</v>
      </c>
      <c r="G12" s="15">
        <f t="shared" si="0"/>
        <v>1395355603</v>
      </c>
      <c r="H12" s="15">
        <f>G12-F12</f>
        <v>64832377</v>
      </c>
      <c r="I12" s="16">
        <v>42764845</v>
      </c>
      <c r="J12" s="16">
        <v>1201354936</v>
      </c>
      <c r="K12" s="16">
        <f>3318243+30767375+6001+11113221</f>
        <v>45204840</v>
      </c>
      <c r="L12" s="16">
        <v>0</v>
      </c>
      <c r="M12" s="16">
        <v>148795827</v>
      </c>
    </row>
    <row r="13" spans="1:13" s="16" customFormat="1" ht="12.75">
      <c r="A13" s="75" t="s">
        <v>40</v>
      </c>
      <c r="B13" s="76"/>
      <c r="C13" s="16">
        <v>6577267</v>
      </c>
      <c r="D13" s="18">
        <v>4.33</v>
      </c>
      <c r="E13" s="18">
        <v>0.52</v>
      </c>
      <c r="F13" s="16">
        <v>55067452</v>
      </c>
      <c r="G13" s="16">
        <f t="shared" si="0"/>
        <v>62967429</v>
      </c>
      <c r="H13" s="15">
        <f t="shared" si="1"/>
        <v>7899977</v>
      </c>
      <c r="I13" s="16">
        <v>229651</v>
      </c>
      <c r="J13" s="16">
        <v>26490916</v>
      </c>
      <c r="K13" s="16">
        <f>2595849+9410639+600162+9751120</f>
        <v>22357770</v>
      </c>
      <c r="L13" s="16">
        <v>0</v>
      </c>
      <c r="M13" s="16">
        <v>14118743</v>
      </c>
    </row>
    <row r="14" spans="1:13" s="15" customFormat="1" ht="12.75">
      <c r="A14" s="17" t="s">
        <v>43</v>
      </c>
      <c r="B14" s="19"/>
      <c r="C14" s="16">
        <v>11555791</v>
      </c>
      <c r="D14" s="18">
        <v>2.43</v>
      </c>
      <c r="E14" s="18">
        <v>0.82</v>
      </c>
      <c r="F14" s="16">
        <v>34420261</v>
      </c>
      <c r="G14" s="15">
        <f t="shared" si="0"/>
        <v>38728509</v>
      </c>
      <c r="H14" s="15">
        <f t="shared" si="1"/>
        <v>4308248</v>
      </c>
      <c r="I14" s="16">
        <v>431611</v>
      </c>
      <c r="J14" s="16">
        <v>0</v>
      </c>
      <c r="K14" s="16">
        <f>2411732+20452738</f>
        <v>22864470</v>
      </c>
      <c r="L14" s="16">
        <v>0</v>
      </c>
      <c r="M14" s="16">
        <v>15864039</v>
      </c>
    </row>
    <row r="15" spans="1:13" s="16" customFormat="1" ht="12.75">
      <c r="A15" s="17" t="s">
        <v>19</v>
      </c>
      <c r="B15" s="19"/>
      <c r="C15" s="16">
        <v>63615722</v>
      </c>
      <c r="D15" s="18">
        <v>10.11</v>
      </c>
      <c r="E15" s="18">
        <v>0.97</v>
      </c>
      <c r="F15" s="16">
        <v>702541918</v>
      </c>
      <c r="G15" s="16">
        <f t="shared" si="0"/>
        <v>724290656</v>
      </c>
      <c r="H15" s="15">
        <f t="shared" si="1"/>
        <v>21748738</v>
      </c>
      <c r="I15" s="16">
        <v>4259819</v>
      </c>
      <c r="J15" s="16">
        <v>553244267</v>
      </c>
      <c r="K15" s="16">
        <f>9713245+29409119+7128810+33553747</f>
        <v>79804921</v>
      </c>
      <c r="L15" s="16">
        <v>3125951</v>
      </c>
      <c r="M15" s="16">
        <v>88115517</v>
      </c>
    </row>
    <row r="16" spans="1:14" s="25" customFormat="1" ht="12.75">
      <c r="A16" s="17" t="s">
        <v>32</v>
      </c>
      <c r="B16" s="17"/>
      <c r="C16" s="15">
        <v>6351882</v>
      </c>
      <c r="D16" s="24">
        <v>4.71</v>
      </c>
      <c r="E16" s="24">
        <v>0.09</v>
      </c>
      <c r="F16" s="15">
        <v>93625984</v>
      </c>
      <c r="G16" s="15">
        <f t="shared" si="0"/>
        <v>106084100</v>
      </c>
      <c r="H16" s="15">
        <f t="shared" si="1"/>
        <v>12458116</v>
      </c>
      <c r="I16" s="15">
        <v>149295</v>
      </c>
      <c r="J16" s="15">
        <v>84277981</v>
      </c>
      <c r="K16" s="15">
        <f>1353226+747774+1005932</f>
        <v>3106932</v>
      </c>
      <c r="L16" s="15">
        <v>0</v>
      </c>
      <c r="M16" s="15">
        <v>18699187</v>
      </c>
      <c r="N16" s="15"/>
    </row>
    <row r="17" spans="1:14" s="25" customFormat="1" ht="12.75">
      <c r="A17" s="17" t="s">
        <v>84</v>
      </c>
      <c r="B17" s="17"/>
      <c r="C17" s="15">
        <v>1650274</v>
      </c>
      <c r="D17" s="24">
        <v>0.62</v>
      </c>
      <c r="E17" s="24">
        <v>0.48</v>
      </c>
      <c r="F17" s="15">
        <v>1913323</v>
      </c>
      <c r="G17" s="16">
        <f t="shared" si="0"/>
        <v>231456</v>
      </c>
      <c r="H17" s="15">
        <f>G17-F17</f>
        <v>-1681867</v>
      </c>
      <c r="I17" s="15">
        <v>1498807</v>
      </c>
      <c r="J17" s="15">
        <v>0</v>
      </c>
      <c r="K17" s="15">
        <f>110333+121123</f>
        <v>231456</v>
      </c>
      <c r="L17" s="15">
        <v>0</v>
      </c>
      <c r="M17" s="15">
        <v>0</v>
      </c>
      <c r="N17" s="16"/>
    </row>
    <row r="18" spans="1:13" s="16" customFormat="1" ht="12.75">
      <c r="A18" s="17" t="s">
        <v>38</v>
      </c>
      <c r="B18" s="19"/>
      <c r="C18" s="16">
        <v>16720341</v>
      </c>
      <c r="D18" s="18">
        <v>5.41</v>
      </c>
      <c r="E18" s="18">
        <v>0.16</v>
      </c>
      <c r="F18" s="16">
        <v>292799838</v>
      </c>
      <c r="G18" s="16">
        <f t="shared" si="0"/>
        <v>327592520</v>
      </c>
      <c r="H18" s="15">
        <f t="shared" si="1"/>
        <v>34792682</v>
      </c>
      <c r="I18" s="16">
        <v>1475526</v>
      </c>
      <c r="J18" s="16">
        <v>273832782</v>
      </c>
      <c r="K18" s="16">
        <f>79559+2167156</f>
        <v>2246715</v>
      </c>
      <c r="L18" s="16">
        <v>0</v>
      </c>
      <c r="M18" s="16">
        <v>51513023</v>
      </c>
    </row>
    <row r="19" spans="1:13" s="16" customFormat="1" ht="12.75">
      <c r="A19" s="17" t="s">
        <v>20</v>
      </c>
      <c r="B19" s="17"/>
      <c r="C19" s="16">
        <v>141615482</v>
      </c>
      <c r="D19" s="18">
        <v>6.87</v>
      </c>
      <c r="E19" s="18">
        <v>0.56</v>
      </c>
      <c r="F19" s="16">
        <v>1826074460</v>
      </c>
      <c r="G19" s="16">
        <f t="shared" si="0"/>
        <v>1921676800</v>
      </c>
      <c r="H19" s="15">
        <f t="shared" si="1"/>
        <v>95602340</v>
      </c>
      <c r="I19" s="16">
        <v>48762099</v>
      </c>
      <c r="J19" s="16">
        <v>1545912625</v>
      </c>
      <c r="K19" s="16">
        <f>2073335+44119033+21968038+55446196</f>
        <v>123606602</v>
      </c>
      <c r="L19" s="16">
        <v>441803</v>
      </c>
      <c r="M19" s="16">
        <v>251715770</v>
      </c>
    </row>
    <row r="20" spans="1:13" s="16" customFormat="1" ht="12.75">
      <c r="A20" s="17" t="s">
        <v>21</v>
      </c>
      <c r="B20" s="17"/>
      <c r="C20" s="16">
        <v>21503253</v>
      </c>
      <c r="D20" s="18">
        <v>6.02</v>
      </c>
      <c r="E20" s="18">
        <v>0.16</v>
      </c>
      <c r="F20" s="16">
        <v>318089577</v>
      </c>
      <c r="G20" s="16">
        <f t="shared" si="0"/>
        <v>342677950</v>
      </c>
      <c r="H20" s="15">
        <f t="shared" si="1"/>
        <v>24588373</v>
      </c>
      <c r="I20" s="16">
        <v>6130032</v>
      </c>
      <c r="J20" s="16">
        <v>261878291</v>
      </c>
      <c r="K20" s="16">
        <f>2696294+12023246+1529189+20704776</f>
        <v>36953505</v>
      </c>
      <c r="L20" s="16">
        <v>360177</v>
      </c>
      <c r="M20" s="16">
        <v>43485977</v>
      </c>
    </row>
    <row r="21" spans="1:13" s="16" customFormat="1" ht="12.75">
      <c r="A21" s="17" t="s">
        <v>39</v>
      </c>
      <c r="B21" s="17"/>
      <c r="C21" s="16">
        <v>23898684</v>
      </c>
      <c r="D21" s="18">
        <v>10.98</v>
      </c>
      <c r="E21" s="18">
        <v>0.4</v>
      </c>
      <c r="F21" s="16">
        <v>419982357</v>
      </c>
      <c r="G21" s="16">
        <f t="shared" si="0"/>
        <v>425919080</v>
      </c>
      <c r="H21" s="15">
        <f t="shared" si="1"/>
        <v>5936723</v>
      </c>
      <c r="I21" s="16">
        <v>5651178</v>
      </c>
      <c r="J21" s="16">
        <v>320383399</v>
      </c>
      <c r="K21" s="16">
        <f>2635071+15020245+28020401+29992520</f>
        <v>75668237</v>
      </c>
      <c r="L21" s="16">
        <v>330613</v>
      </c>
      <c r="M21" s="16">
        <v>29536831</v>
      </c>
    </row>
    <row r="22" spans="1:13" s="16" customFormat="1" ht="12.75">
      <c r="A22" s="17" t="s">
        <v>33</v>
      </c>
      <c r="B22" s="17"/>
      <c r="C22" s="16">
        <v>1650274</v>
      </c>
      <c r="D22" s="18">
        <v>0.73</v>
      </c>
      <c r="E22" s="18">
        <v>0.06</v>
      </c>
      <c r="F22" s="16">
        <v>3540984</v>
      </c>
      <c r="G22" s="16">
        <f t="shared" si="0"/>
        <v>4337187</v>
      </c>
      <c r="H22" s="15">
        <f t="shared" si="1"/>
        <v>796203</v>
      </c>
      <c r="I22" s="16">
        <v>418749</v>
      </c>
      <c r="J22" s="16">
        <v>0</v>
      </c>
      <c r="K22" s="16">
        <f>368619+1522091</f>
        <v>1890710</v>
      </c>
      <c r="L22" s="16">
        <v>0</v>
      </c>
      <c r="M22" s="16">
        <v>2446477</v>
      </c>
    </row>
    <row r="23" spans="1:14" s="26" customFormat="1" ht="12.75">
      <c r="A23" s="17" t="s">
        <v>41</v>
      </c>
      <c r="B23" s="17"/>
      <c r="C23" s="16">
        <v>94438623</v>
      </c>
      <c r="D23" s="18">
        <v>8.35</v>
      </c>
      <c r="E23" s="18">
        <v>0.12</v>
      </c>
      <c r="F23" s="16">
        <v>1593304037</v>
      </c>
      <c r="G23" s="15">
        <f t="shared" si="0"/>
        <v>1639124515</v>
      </c>
      <c r="H23" s="15">
        <f t="shared" si="1"/>
        <v>45820478</v>
      </c>
      <c r="I23" s="16">
        <v>28687455</v>
      </c>
      <c r="J23" s="16">
        <v>1365392690</v>
      </c>
      <c r="K23" s="16">
        <f>4832199+56839968+17396031+37888110</f>
        <v>116956308</v>
      </c>
      <c r="L23" s="16">
        <v>372273</v>
      </c>
      <c r="M23" s="16">
        <v>156403244</v>
      </c>
      <c r="N23" s="16"/>
    </row>
    <row r="24" spans="1:14" s="26" customFormat="1" ht="12.75">
      <c r="A24" s="17" t="s">
        <v>22</v>
      </c>
      <c r="B24" s="17"/>
      <c r="C24" s="16">
        <v>14456057</v>
      </c>
      <c r="D24" s="18">
        <v>3.04</v>
      </c>
      <c r="E24" s="18">
        <v>0.4</v>
      </c>
      <c r="F24" s="16">
        <v>150106078</v>
      </c>
      <c r="G24" s="15">
        <f t="shared" si="0"/>
        <v>166618678</v>
      </c>
      <c r="H24" s="15">
        <f>G24-F24</f>
        <v>16512600</v>
      </c>
      <c r="I24" s="16">
        <v>8248937</v>
      </c>
      <c r="J24" s="16">
        <v>31335868</v>
      </c>
      <c r="K24" s="16">
        <f>5806450+50476726+1671079+46563361</f>
        <v>104517616</v>
      </c>
      <c r="L24" s="16">
        <v>0</v>
      </c>
      <c r="M24" s="16">
        <v>30765194</v>
      </c>
      <c r="N24" s="16"/>
    </row>
    <row r="25" spans="1:13" s="15" customFormat="1" ht="12.75">
      <c r="A25" s="17" t="s">
        <v>48</v>
      </c>
      <c r="B25" s="17"/>
      <c r="C25" s="16">
        <v>1980746</v>
      </c>
      <c r="D25" s="18">
        <v>9.17</v>
      </c>
      <c r="E25" s="18">
        <v>0.4</v>
      </c>
      <c r="F25" s="16">
        <v>27611940</v>
      </c>
      <c r="G25" s="15">
        <f aca="true" t="shared" si="2" ref="G25:G33">+J25+K25+L25+M25</f>
        <v>28862686</v>
      </c>
      <c r="H25" s="15">
        <f aca="true" t="shared" si="3" ref="H25:H32">G25-F25</f>
        <v>1250746</v>
      </c>
      <c r="I25" s="16">
        <v>74864</v>
      </c>
      <c r="J25" s="16">
        <v>24443665</v>
      </c>
      <c r="K25" s="16">
        <f>142287+726724+355910</f>
        <v>1224921</v>
      </c>
      <c r="L25" s="16">
        <v>3030</v>
      </c>
      <c r="M25" s="16">
        <v>3191070</v>
      </c>
    </row>
    <row r="26" spans="1:13" s="15" customFormat="1" ht="12.75">
      <c r="A26" s="17" t="s">
        <v>35</v>
      </c>
      <c r="B26" s="17"/>
      <c r="C26" s="16">
        <v>76844082</v>
      </c>
      <c r="D26" s="18">
        <v>10.38</v>
      </c>
      <c r="E26" s="18">
        <v>0.26</v>
      </c>
      <c r="F26" s="16">
        <v>1237696440</v>
      </c>
      <c r="G26" s="15">
        <f t="shared" si="2"/>
        <v>1241334848</v>
      </c>
      <c r="H26" s="15">
        <f t="shared" si="3"/>
        <v>3638408</v>
      </c>
      <c r="I26" s="16">
        <v>5867635</v>
      </c>
      <c r="J26" s="16">
        <v>1093810012</v>
      </c>
      <c r="K26" s="16">
        <f>10905534+27114959+2465724+26115201</f>
        <v>66601418</v>
      </c>
      <c r="L26" s="16">
        <v>0</v>
      </c>
      <c r="M26" s="16">
        <v>80923418</v>
      </c>
    </row>
    <row r="27" spans="1:13" s="16" customFormat="1" ht="12.75">
      <c r="A27" s="17" t="s">
        <v>30</v>
      </c>
      <c r="B27" s="17"/>
      <c r="C27" s="16">
        <v>19538845</v>
      </c>
      <c r="D27" s="18">
        <v>12.68</v>
      </c>
      <c r="E27" s="18">
        <v>0.11</v>
      </c>
      <c r="F27" s="16">
        <v>343326804</v>
      </c>
      <c r="G27" s="16">
        <f t="shared" si="2"/>
        <v>345641204</v>
      </c>
      <c r="H27" s="15">
        <f t="shared" si="3"/>
        <v>2314400</v>
      </c>
      <c r="I27" s="16">
        <v>441276</v>
      </c>
      <c r="J27" s="16">
        <v>319054981</v>
      </c>
      <c r="K27" s="16">
        <f>923484+3758419+51076</f>
        <v>4732979</v>
      </c>
      <c r="L27" s="16">
        <v>0</v>
      </c>
      <c r="M27" s="16">
        <v>21853244</v>
      </c>
    </row>
    <row r="28" spans="1:13" s="15" customFormat="1" ht="12.75">
      <c r="A28" s="17" t="s">
        <v>44</v>
      </c>
      <c r="B28" s="19"/>
      <c r="C28" s="16">
        <v>36496299</v>
      </c>
      <c r="D28" s="18">
        <v>8.76</v>
      </c>
      <c r="E28" s="18">
        <v>0.3</v>
      </c>
      <c r="F28" s="16">
        <v>633766443</v>
      </c>
      <c r="G28" s="15">
        <f>+J28+K28+L28+M28</f>
        <v>656629886</v>
      </c>
      <c r="H28" s="15">
        <f>G28-F28</f>
        <v>22863443</v>
      </c>
      <c r="I28" s="16">
        <v>11056512</v>
      </c>
      <c r="J28" s="16">
        <v>577977909</v>
      </c>
      <c r="K28" s="16">
        <f>270025+3340923+19282444</f>
        <v>22893392</v>
      </c>
      <c r="L28" s="16">
        <v>338121</v>
      </c>
      <c r="M28" s="16">
        <v>55420464</v>
      </c>
    </row>
    <row r="29" spans="1:13" s="15" customFormat="1" ht="12.75">
      <c r="A29" s="17" t="s">
        <v>42</v>
      </c>
      <c r="B29" s="19"/>
      <c r="C29" s="16">
        <v>66758232</v>
      </c>
      <c r="D29" s="18">
        <v>14.85</v>
      </c>
      <c r="E29" s="18">
        <v>0.25</v>
      </c>
      <c r="F29" s="16">
        <v>1183926597</v>
      </c>
      <c r="G29" s="15">
        <f t="shared" si="2"/>
        <v>1190563663</v>
      </c>
      <c r="H29" s="15">
        <f t="shared" si="3"/>
        <v>6637066</v>
      </c>
      <c r="I29" s="16">
        <v>5324462</v>
      </c>
      <c r="J29" s="16">
        <v>1098964139</v>
      </c>
      <c r="K29" s="16">
        <f>1004582+11608948+2487673+3299856</f>
        <v>18401059</v>
      </c>
      <c r="L29" s="16">
        <v>0</v>
      </c>
      <c r="M29" s="16">
        <v>73198465</v>
      </c>
    </row>
    <row r="30" spans="1:13" s="16" customFormat="1" ht="12.75">
      <c r="A30" s="17" t="s">
        <v>23</v>
      </c>
      <c r="B30" s="17"/>
      <c r="C30" s="16">
        <v>15347383</v>
      </c>
      <c r="D30" s="18">
        <v>7.24</v>
      </c>
      <c r="E30" s="18">
        <v>0.22</v>
      </c>
      <c r="F30" s="16">
        <v>268432968</v>
      </c>
      <c r="G30" s="16">
        <f>+J30+K30+L30+M30</f>
        <v>272182769</v>
      </c>
      <c r="H30" s="15">
        <f>G30-F30</f>
        <v>3749801</v>
      </c>
      <c r="I30" s="16">
        <v>17753998</v>
      </c>
      <c r="J30" s="16">
        <v>251077636</v>
      </c>
      <c r="K30" s="16">
        <f>1590086+186072+272978</f>
        <v>2049136</v>
      </c>
      <c r="L30" s="16">
        <v>1559</v>
      </c>
      <c r="M30" s="16">
        <v>19054438</v>
      </c>
    </row>
    <row r="31" spans="1:14" s="15" customFormat="1" ht="12.75">
      <c r="A31" s="17" t="s">
        <v>82</v>
      </c>
      <c r="B31" s="17"/>
      <c r="C31" s="16">
        <v>13628864</v>
      </c>
      <c r="D31" s="18">
        <v>0.82</v>
      </c>
      <c r="E31" s="18">
        <v>0.24</v>
      </c>
      <c r="F31" s="16">
        <v>48391292</v>
      </c>
      <c r="G31" s="15">
        <f>+J31+K31+L31+M31</f>
        <v>58984285</v>
      </c>
      <c r="H31" s="15">
        <f>G31-F31</f>
        <v>10592993</v>
      </c>
      <c r="I31" s="16">
        <v>27380720</v>
      </c>
      <c r="J31" s="16">
        <v>0</v>
      </c>
      <c r="K31" s="16">
        <f>6742139+26680767+2219579</f>
        <v>35642485</v>
      </c>
      <c r="L31" s="16">
        <v>49570</v>
      </c>
      <c r="M31" s="16">
        <v>23292230</v>
      </c>
      <c r="N31" s="16"/>
    </row>
    <row r="32" spans="1:14" s="15" customFormat="1" ht="12.75">
      <c r="A32" s="17" t="s">
        <v>49</v>
      </c>
      <c r="B32" s="17"/>
      <c r="C32" s="16">
        <v>6932153</v>
      </c>
      <c r="D32" s="18">
        <v>5.5</v>
      </c>
      <c r="E32" s="18">
        <v>0.42</v>
      </c>
      <c r="F32" s="16">
        <v>71847421</v>
      </c>
      <c r="G32" s="16">
        <f t="shared" si="2"/>
        <v>71882637</v>
      </c>
      <c r="H32" s="15">
        <f t="shared" si="3"/>
        <v>35216</v>
      </c>
      <c r="I32" s="16">
        <v>838158</v>
      </c>
      <c r="J32" s="16">
        <v>36380462</v>
      </c>
      <c r="K32" s="16">
        <f>2223409+5079904+13964956+7191064</f>
        <v>28459333</v>
      </c>
      <c r="L32" s="16">
        <v>216668</v>
      </c>
      <c r="M32" s="16">
        <v>6826174</v>
      </c>
      <c r="N32" s="16"/>
    </row>
    <row r="33" spans="1:13" s="16" customFormat="1" ht="12.75">
      <c r="A33" s="17" t="s">
        <v>50</v>
      </c>
      <c r="B33" s="19"/>
      <c r="C33" s="16">
        <v>28695029</v>
      </c>
      <c r="D33" s="18">
        <v>8.32</v>
      </c>
      <c r="E33" s="18">
        <v>0.05</v>
      </c>
      <c r="F33" s="16">
        <v>513772272</v>
      </c>
      <c r="G33" s="16">
        <f t="shared" si="2"/>
        <v>543295514</v>
      </c>
      <c r="H33" s="15">
        <f>G33-F33</f>
        <v>29523242</v>
      </c>
      <c r="I33" s="16">
        <v>209841</v>
      </c>
      <c r="J33" s="16">
        <v>448947016</v>
      </c>
      <c r="K33" s="16">
        <v>36130227</v>
      </c>
      <c r="L33" s="16">
        <v>0</v>
      </c>
      <c r="M33" s="16">
        <v>58218271</v>
      </c>
    </row>
    <row r="34" spans="1:13" s="16" customFormat="1" ht="12.75">
      <c r="A34" s="17" t="s">
        <v>24</v>
      </c>
      <c r="B34" s="17"/>
      <c r="C34" s="16">
        <v>51694765</v>
      </c>
      <c r="D34" s="18">
        <v>8.57</v>
      </c>
      <c r="E34" s="18">
        <v>0.26</v>
      </c>
      <c r="F34" s="16">
        <v>896237187</v>
      </c>
      <c r="G34" s="15">
        <f>+J34+K34+L34+M34</f>
        <v>919259732</v>
      </c>
      <c r="H34" s="15">
        <f t="shared" si="1"/>
        <v>23022545</v>
      </c>
      <c r="I34" s="16">
        <v>16998392</v>
      </c>
      <c r="J34" s="16">
        <v>816869077</v>
      </c>
      <c r="K34" s="16">
        <f>775119+10196407+8546913+8711801</f>
        <v>28230240</v>
      </c>
      <c r="L34" s="16">
        <v>0</v>
      </c>
      <c r="M34" s="16">
        <v>74160415</v>
      </c>
    </row>
    <row r="35" spans="1:13" s="16" customFormat="1" ht="12.75">
      <c r="A35" s="27" t="s">
        <v>16</v>
      </c>
      <c r="B35" s="27"/>
      <c r="C35" s="28">
        <f>SUM(C8:C34)</f>
        <v>822597634</v>
      </c>
      <c r="D35" s="29"/>
      <c r="E35" s="29"/>
      <c r="F35" s="28">
        <f aca="true" t="shared" si="4" ref="F35:M35">SUM(F8:F34)</f>
        <v>12192656207</v>
      </c>
      <c r="G35" s="28">
        <f t="shared" si="4"/>
        <v>12645510751</v>
      </c>
      <c r="H35" s="28">
        <f t="shared" si="4"/>
        <v>452854544</v>
      </c>
      <c r="I35" s="28">
        <f t="shared" si="4"/>
        <v>237629848</v>
      </c>
      <c r="J35" s="28">
        <f t="shared" si="4"/>
        <v>10440825425</v>
      </c>
      <c r="K35" s="28">
        <f t="shared" si="4"/>
        <v>900277309</v>
      </c>
      <c r="L35" s="28">
        <f t="shared" si="4"/>
        <v>5239765</v>
      </c>
      <c r="M35" s="28">
        <f t="shared" si="4"/>
        <v>1299168252</v>
      </c>
    </row>
    <row r="36" spans="1:13" s="16" customFormat="1" ht="12.75">
      <c r="A36" s="30"/>
      <c r="B36" s="30"/>
      <c r="D36" s="18"/>
      <c r="E36" s="18"/>
      <c r="M36" s="23"/>
    </row>
    <row r="37" spans="1:14" s="15" customFormat="1" ht="12.75">
      <c r="A37" s="17" t="s">
        <v>18</v>
      </c>
      <c r="B37" s="17"/>
      <c r="C37" s="16">
        <v>2540182</v>
      </c>
      <c r="D37" s="18">
        <v>2.25</v>
      </c>
      <c r="E37" s="18">
        <v>0.04</v>
      </c>
      <c r="F37" s="16">
        <v>45038514</v>
      </c>
      <c r="G37" s="16">
        <f>+J37+K37+L37+M37</f>
        <v>53784985</v>
      </c>
      <c r="H37" s="15">
        <f>G37-F37</f>
        <v>8746471</v>
      </c>
      <c r="I37" s="16">
        <v>7857032</v>
      </c>
      <c r="J37" s="16">
        <v>42429296</v>
      </c>
      <c r="K37" s="16">
        <f>55489+13547</f>
        <v>69036</v>
      </c>
      <c r="L37" s="16">
        <v>0</v>
      </c>
      <c r="M37" s="16">
        <v>11286653</v>
      </c>
      <c r="N37" s="32"/>
    </row>
    <row r="38" spans="1:15" s="16" customFormat="1" ht="12.75">
      <c r="A38" s="31" t="s">
        <v>36</v>
      </c>
      <c r="B38" s="31"/>
      <c r="C38" s="28">
        <f>SUM(C37)</f>
        <v>2540182</v>
      </c>
      <c r="D38" s="29"/>
      <c r="E38" s="29"/>
      <c r="F38" s="28">
        <f aca="true" t="shared" si="5" ref="F38:M38">SUM(F37)</f>
        <v>45038514</v>
      </c>
      <c r="G38" s="28">
        <f t="shared" si="5"/>
        <v>53784985</v>
      </c>
      <c r="H38" s="28">
        <f t="shared" si="5"/>
        <v>8746471</v>
      </c>
      <c r="I38" s="28">
        <f t="shared" si="5"/>
        <v>7857032</v>
      </c>
      <c r="J38" s="28">
        <f t="shared" si="5"/>
        <v>42429296</v>
      </c>
      <c r="K38" s="28">
        <f t="shared" si="5"/>
        <v>69036</v>
      </c>
      <c r="L38" s="28">
        <f t="shared" si="5"/>
        <v>0</v>
      </c>
      <c r="M38" s="28">
        <f t="shared" si="5"/>
        <v>11286653</v>
      </c>
      <c r="N38" s="32"/>
      <c r="O38" s="32"/>
    </row>
    <row r="39" spans="4:14" s="16" customFormat="1" ht="12.75">
      <c r="D39" s="18"/>
      <c r="E39" s="18"/>
      <c r="I39" s="15"/>
      <c r="J39" s="15"/>
      <c r="K39" s="15"/>
      <c r="M39" s="23"/>
      <c r="N39" s="32"/>
    </row>
    <row r="40" spans="1:13" s="16" customFormat="1" ht="12.75">
      <c r="A40" s="33" t="s">
        <v>9</v>
      </c>
      <c r="B40" s="33"/>
      <c r="C40" s="34">
        <f>C35+C38</f>
        <v>825137816</v>
      </c>
      <c r="D40" s="35"/>
      <c r="E40" s="35"/>
      <c r="F40" s="34">
        <f aca="true" t="shared" si="6" ref="F40:M40">F35+F38</f>
        <v>12237694721</v>
      </c>
      <c r="G40" s="34">
        <f t="shared" si="6"/>
        <v>12699295736</v>
      </c>
      <c r="H40" s="34">
        <f t="shared" si="6"/>
        <v>461601015</v>
      </c>
      <c r="I40" s="34">
        <f t="shared" si="6"/>
        <v>245486880</v>
      </c>
      <c r="J40" s="36">
        <f t="shared" si="6"/>
        <v>10483254721</v>
      </c>
      <c r="K40" s="36">
        <f t="shared" si="6"/>
        <v>900346345</v>
      </c>
      <c r="L40" s="34">
        <f t="shared" si="6"/>
        <v>5239765</v>
      </c>
      <c r="M40" s="34">
        <f t="shared" si="6"/>
        <v>1310454905</v>
      </c>
    </row>
    <row r="41" s="16" customFormat="1" ht="9.75" customHeight="1">
      <c r="A41" s="37"/>
    </row>
    <row r="42" spans="1:13" s="16" customFormat="1" ht="34.5" customHeight="1">
      <c r="A42" s="37" t="s">
        <v>76</v>
      </c>
      <c r="B42" s="79" t="s">
        <v>85</v>
      </c>
      <c r="C42" s="79"/>
      <c r="D42" s="79"/>
      <c r="E42" s="79"/>
      <c r="F42" s="79"/>
      <c r="G42" s="79"/>
      <c r="H42" s="79"/>
      <c r="I42" s="79"/>
      <c r="J42" s="79"/>
      <c r="K42" s="79"/>
      <c r="L42" s="79"/>
      <c r="M42" s="80"/>
    </row>
    <row r="43" spans="1:13" s="16" customFormat="1" ht="15" customHeight="1">
      <c r="A43" s="37" t="s">
        <v>83</v>
      </c>
      <c r="B43" s="81" t="s">
        <v>77</v>
      </c>
      <c r="C43" s="81"/>
      <c r="D43" s="81"/>
      <c r="E43" s="81"/>
      <c r="F43" s="81"/>
      <c r="G43" s="81"/>
      <c r="H43" s="81"/>
      <c r="I43" s="81"/>
      <c r="J43" s="81"/>
      <c r="K43" s="81"/>
      <c r="L43" s="81"/>
      <c r="M43" s="74"/>
    </row>
    <row r="44" s="16" customFormat="1" ht="12.75">
      <c r="A44" s="38"/>
    </row>
    <row r="45" s="16" customFormat="1" ht="12.75">
      <c r="A45" s="38"/>
    </row>
    <row r="46" spans="1:5" s="16" customFormat="1" ht="12.75">
      <c r="A46" s="23"/>
      <c r="D46" s="18"/>
      <c r="E46" s="18"/>
    </row>
    <row r="47" spans="1:5" s="16" customFormat="1" ht="12.75">
      <c r="A47" s="23"/>
      <c r="D47" s="18"/>
      <c r="E47" s="18"/>
    </row>
    <row r="48" spans="1:5" s="16" customFormat="1" ht="12.75">
      <c r="A48" s="23"/>
      <c r="D48" s="18"/>
      <c r="E48" s="18"/>
    </row>
    <row r="49" spans="1:6" s="16" customFormat="1" ht="12.75">
      <c r="A49" s="23"/>
      <c r="D49" s="18"/>
      <c r="E49" s="18"/>
      <c r="F49" s="16" t="s">
        <v>37</v>
      </c>
    </row>
    <row r="50" spans="4:5" s="16" customFormat="1" ht="12.75">
      <c r="D50" s="18"/>
      <c r="E50" s="18"/>
    </row>
    <row r="51" spans="4:5" s="16" customFormat="1" ht="12.75">
      <c r="D51" s="18"/>
      <c r="E51" s="18"/>
    </row>
    <row r="52" spans="4:5" s="16" customFormat="1" ht="12.75">
      <c r="D52" s="18"/>
      <c r="E52" s="18"/>
    </row>
    <row r="53" spans="4:5" s="16" customFormat="1" ht="12.75">
      <c r="D53" s="18"/>
      <c r="E53" s="18"/>
    </row>
    <row r="54" spans="4:5" s="16" customFormat="1" ht="12.75">
      <c r="D54" s="18"/>
      <c r="E54" s="18"/>
    </row>
    <row r="55" spans="4:5" s="16" customFormat="1" ht="12.75">
      <c r="D55" s="18"/>
      <c r="E55" s="18"/>
    </row>
    <row r="56" spans="4:5" s="16" customFormat="1" ht="12.75">
      <c r="D56" s="18"/>
      <c r="E56" s="18"/>
    </row>
    <row r="57" spans="4:5" s="16" customFormat="1" ht="12.75">
      <c r="D57" s="18"/>
      <c r="E57" s="18"/>
    </row>
    <row r="58" spans="4:5" s="16" customFormat="1" ht="12.75">
      <c r="D58" s="18"/>
      <c r="E58" s="18"/>
    </row>
    <row r="59" spans="4:5" s="16" customFormat="1" ht="12.75">
      <c r="D59" s="18"/>
      <c r="E59" s="18"/>
    </row>
    <row r="60" spans="4:5" s="16" customFormat="1" ht="12.75">
      <c r="D60" s="18"/>
      <c r="E60" s="18"/>
    </row>
    <row r="61" spans="4:5" s="16" customFormat="1" ht="12.75">
      <c r="D61" s="18"/>
      <c r="E61" s="18"/>
    </row>
    <row r="62" spans="4:5" s="16" customFormat="1" ht="12.75">
      <c r="D62" s="18"/>
      <c r="E62" s="18"/>
    </row>
    <row r="63" spans="4:5" s="16" customFormat="1" ht="12.75">
      <c r="D63" s="18"/>
      <c r="E63" s="18"/>
    </row>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sheetData>
  <mergeCells count="6">
    <mergeCell ref="B43:L43"/>
    <mergeCell ref="A13:B13"/>
    <mergeCell ref="D4:E4"/>
    <mergeCell ref="A8:B8"/>
    <mergeCell ref="B42:M42"/>
    <mergeCell ref="A9:B9"/>
  </mergeCells>
  <printOptions/>
  <pageMargins left="0.7" right="0.3937007874015748" top="0.5905511811023623" bottom="0.1968503937007874" header="0.1968503937007874" footer="0"/>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tabColor indexed="50"/>
  </sheetPr>
  <dimension ref="A1:M40"/>
  <sheetViews>
    <sheetView zoomScale="90" zoomScaleNormal="90" workbookViewId="0" topLeftCell="A1">
      <selection activeCell="A5" sqref="A5"/>
    </sheetView>
  </sheetViews>
  <sheetFormatPr defaultColWidth="11.421875" defaultRowHeight="12.75"/>
  <cols>
    <col min="1" max="1" width="11.851562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spans="1:13" ht="12.75">
      <c r="A1" s="71"/>
      <c r="L1" s="43"/>
      <c r="M1" s="43"/>
    </row>
    <row r="2" spans="1:13" ht="12.75">
      <c r="A2" s="71"/>
      <c r="L2" s="43"/>
      <c r="M2" s="43"/>
    </row>
    <row r="3" spans="1:13" ht="12.75">
      <c r="A3" s="39" t="s">
        <v>51</v>
      </c>
      <c r="B3" s="73"/>
      <c r="C3" s="48"/>
      <c r="D3" s="48"/>
      <c r="E3" s="48"/>
      <c r="F3" s="48"/>
      <c r="G3" s="48"/>
      <c r="H3" s="48"/>
      <c r="I3" s="48"/>
      <c r="J3" s="48"/>
      <c r="K3" s="48"/>
      <c r="L3" s="43"/>
      <c r="M3" s="43"/>
    </row>
    <row r="4" spans="1:13" ht="12.75">
      <c r="A4" s="11" t="s">
        <v>81</v>
      </c>
      <c r="B4" s="41"/>
      <c r="C4" s="40"/>
      <c r="D4" s="40"/>
      <c r="E4" s="1"/>
      <c r="F4" s="48"/>
      <c r="G4" s="48"/>
      <c r="H4" s="48"/>
      <c r="I4" s="48"/>
      <c r="J4" s="48"/>
      <c r="K4" s="48"/>
      <c r="L4" s="43"/>
      <c r="M4" s="43"/>
    </row>
    <row r="5" spans="1:13" ht="12.75">
      <c r="A5" s="48"/>
      <c r="B5" s="48"/>
      <c r="C5" s="48"/>
      <c r="D5" s="48"/>
      <c r="E5" s="48"/>
      <c r="F5" s="48"/>
      <c r="G5" s="48"/>
      <c r="H5" s="48"/>
      <c r="I5" s="48"/>
      <c r="J5" s="48"/>
      <c r="K5" s="48"/>
      <c r="L5" s="43"/>
      <c r="M5" s="43"/>
    </row>
    <row r="6" spans="1:13" ht="12.75">
      <c r="A6" s="72" t="s">
        <v>52</v>
      </c>
      <c r="B6" s="42"/>
      <c r="C6" s="72"/>
      <c r="D6" s="42"/>
      <c r="E6" s="48"/>
      <c r="F6" s="48"/>
      <c r="G6" s="48"/>
      <c r="H6" s="48"/>
      <c r="I6" s="48"/>
      <c r="J6" s="48"/>
      <c r="K6" s="48"/>
      <c r="L6" s="43"/>
      <c r="M6" s="43"/>
    </row>
    <row r="7" spans="1:13" ht="12.75">
      <c r="A7" s="10" t="s">
        <v>2</v>
      </c>
      <c r="B7" s="49"/>
      <c r="C7" s="49"/>
      <c r="D7" s="50" t="s">
        <v>53</v>
      </c>
      <c r="E7" s="51"/>
      <c r="F7" s="52" t="s">
        <v>54</v>
      </c>
      <c r="G7" s="52" t="s">
        <v>7</v>
      </c>
      <c r="H7" s="53" t="s">
        <v>55</v>
      </c>
      <c r="I7" s="52" t="s">
        <v>54</v>
      </c>
      <c r="J7" s="52" t="s">
        <v>7</v>
      </c>
      <c r="K7" s="53" t="s">
        <v>55</v>
      </c>
      <c r="L7" s="44"/>
      <c r="M7" s="43"/>
    </row>
    <row r="8" spans="1:13" ht="12.75">
      <c r="A8" s="42"/>
      <c r="B8" s="42"/>
      <c r="C8" s="42"/>
      <c r="D8" s="5" t="s">
        <v>9</v>
      </c>
      <c r="E8" s="5" t="s">
        <v>10</v>
      </c>
      <c r="F8" s="54" t="s">
        <v>56</v>
      </c>
      <c r="G8" s="54" t="s">
        <v>57</v>
      </c>
      <c r="H8" s="54" t="s">
        <v>58</v>
      </c>
      <c r="I8" s="54" t="s">
        <v>59</v>
      </c>
      <c r="J8" s="54" t="s">
        <v>57</v>
      </c>
      <c r="K8" s="54" t="s">
        <v>58</v>
      </c>
      <c r="L8" s="43"/>
      <c r="M8" s="43"/>
    </row>
    <row r="9" spans="1:13" ht="12.75">
      <c r="A9" s="55"/>
      <c r="B9" s="55"/>
      <c r="C9" s="55"/>
      <c r="D9" s="55"/>
      <c r="E9" s="55"/>
      <c r="F9" s="56" t="s">
        <v>60</v>
      </c>
      <c r="G9" s="56" t="s">
        <v>61</v>
      </c>
      <c r="H9" s="56" t="s">
        <v>61</v>
      </c>
      <c r="I9" s="56" t="s">
        <v>3</v>
      </c>
      <c r="J9" s="57" t="s">
        <v>62</v>
      </c>
      <c r="K9" s="57" t="s">
        <v>62</v>
      </c>
      <c r="L9" s="43"/>
      <c r="M9" s="43"/>
    </row>
    <row r="10" spans="1:13" ht="12.75">
      <c r="A10" s="42"/>
      <c r="B10" s="42"/>
      <c r="C10" s="42"/>
      <c r="D10" s="58"/>
      <c r="E10" s="58"/>
      <c r="F10" s="59"/>
      <c r="G10" s="59"/>
      <c r="H10" s="59"/>
      <c r="I10" s="59"/>
      <c r="J10" s="60"/>
      <c r="K10" s="60"/>
      <c r="L10" s="43"/>
      <c r="M10" s="43"/>
    </row>
    <row r="11" spans="1:13" ht="12.75">
      <c r="A11" s="72" t="s">
        <v>78</v>
      </c>
      <c r="B11" s="42"/>
      <c r="C11" s="42"/>
      <c r="D11" s="61">
        <v>1.09</v>
      </c>
      <c r="E11" s="62">
        <v>0.002</v>
      </c>
      <c r="F11" s="63">
        <v>62806193</v>
      </c>
      <c r="G11" s="63">
        <f>421776+61045672+1338745</f>
        <v>62806193</v>
      </c>
      <c r="H11" s="63">
        <f>G11-F11</f>
        <v>0</v>
      </c>
      <c r="I11" s="63">
        <v>57525860</v>
      </c>
      <c r="J11" s="63">
        <v>57599892</v>
      </c>
      <c r="K11" s="63">
        <f>J11-I11</f>
        <v>74032</v>
      </c>
      <c r="L11" s="43"/>
      <c r="M11" s="43"/>
    </row>
    <row r="12" spans="1:13" ht="12.75">
      <c r="A12" s="72" t="s">
        <v>79</v>
      </c>
      <c r="B12" s="42"/>
      <c r="C12" s="42"/>
      <c r="D12" s="61">
        <v>0.43</v>
      </c>
      <c r="E12" s="61">
        <v>0.01</v>
      </c>
      <c r="F12" s="63">
        <v>17610125</v>
      </c>
      <c r="G12" s="63">
        <f>423384+10911828+6274913</f>
        <v>17610125</v>
      </c>
      <c r="H12" s="63">
        <f>G12-F12</f>
        <v>0</v>
      </c>
      <c r="I12" s="63">
        <v>41376060</v>
      </c>
      <c r="J12" s="63">
        <v>41769386</v>
      </c>
      <c r="K12" s="63">
        <f>J12-I12</f>
        <v>393326</v>
      </c>
      <c r="L12" s="43"/>
      <c r="M12" s="43"/>
    </row>
    <row r="13" spans="1:13" ht="12.75">
      <c r="A13" s="42"/>
      <c r="B13" s="42"/>
      <c r="C13" s="42"/>
      <c r="D13" s="58"/>
      <c r="E13" s="58"/>
      <c r="F13" s="63"/>
      <c r="G13" s="63"/>
      <c r="H13" s="63"/>
      <c r="I13" s="63"/>
      <c r="J13" s="63"/>
      <c r="K13" s="63"/>
      <c r="L13" s="43"/>
      <c r="M13" s="43"/>
    </row>
    <row r="14" spans="1:13" s="42" customFormat="1" ht="12.75">
      <c r="A14" s="48"/>
      <c r="B14" s="48"/>
      <c r="C14" s="48"/>
      <c r="D14" s="64"/>
      <c r="E14" s="64"/>
      <c r="F14" s="65"/>
      <c r="G14" s="65"/>
      <c r="H14" s="65"/>
      <c r="I14" s="65"/>
      <c r="J14" s="65"/>
      <c r="K14" s="65"/>
      <c r="L14" s="43"/>
      <c r="M14" s="45"/>
    </row>
    <row r="15" spans="1:13" s="42" customFormat="1" ht="12.75">
      <c r="A15" s="72" t="s">
        <v>63</v>
      </c>
      <c r="C15" s="72"/>
      <c r="D15" s="72"/>
      <c r="F15" s="72"/>
      <c r="G15" s="65"/>
      <c r="H15" s="65"/>
      <c r="I15" s="65"/>
      <c r="J15" s="65"/>
      <c r="K15" s="65"/>
      <c r="L15" s="43"/>
      <c r="M15" s="45"/>
    </row>
    <row r="16" spans="1:13" s="42" customFormat="1" ht="12.75">
      <c r="A16" s="10" t="s">
        <v>2</v>
      </c>
      <c r="B16" s="49"/>
      <c r="C16" s="49"/>
      <c r="D16" s="50" t="s">
        <v>53</v>
      </c>
      <c r="E16" s="46"/>
      <c r="F16" s="66" t="s">
        <v>64</v>
      </c>
      <c r="G16" s="66" t="s">
        <v>64</v>
      </c>
      <c r="H16" s="12" t="s">
        <v>65</v>
      </c>
      <c r="I16" s="12" t="s">
        <v>66</v>
      </c>
      <c r="J16" s="63"/>
      <c r="K16" s="63"/>
      <c r="L16" s="43"/>
      <c r="M16" s="45"/>
    </row>
    <row r="17" spans="4:13" s="42" customFormat="1" ht="10.5">
      <c r="D17" s="5" t="s">
        <v>9</v>
      </c>
      <c r="E17" s="5" t="s">
        <v>10</v>
      </c>
      <c r="F17" s="60" t="s">
        <v>67</v>
      </c>
      <c r="G17" s="60" t="s">
        <v>67</v>
      </c>
      <c r="H17" s="59" t="s">
        <v>68</v>
      </c>
      <c r="I17" s="59" t="s">
        <v>58</v>
      </c>
      <c r="J17" s="63"/>
      <c r="K17" s="63"/>
      <c r="L17" s="45"/>
      <c r="M17" s="45"/>
    </row>
    <row r="18" spans="1:13" ht="12.75">
      <c r="A18" s="42"/>
      <c r="B18" s="42"/>
      <c r="C18" s="42"/>
      <c r="D18" s="58"/>
      <c r="E18" s="58"/>
      <c r="F18" s="60" t="s">
        <v>69</v>
      </c>
      <c r="G18" s="59" t="s">
        <v>70</v>
      </c>
      <c r="H18" s="60" t="s">
        <v>71</v>
      </c>
      <c r="I18" s="59" t="s">
        <v>72</v>
      </c>
      <c r="J18" s="63"/>
      <c r="K18" s="63"/>
      <c r="L18" s="45"/>
      <c r="M18" s="43"/>
    </row>
    <row r="19" spans="1:13" s="42" customFormat="1" ht="10.5">
      <c r="A19" s="55"/>
      <c r="B19" s="55"/>
      <c r="C19" s="55"/>
      <c r="D19" s="67"/>
      <c r="E19" s="67"/>
      <c r="F19" s="68" t="s">
        <v>73</v>
      </c>
      <c r="G19" s="68" t="s">
        <v>74</v>
      </c>
      <c r="H19" s="68" t="s">
        <v>75</v>
      </c>
      <c r="I19" s="68" t="s">
        <v>75</v>
      </c>
      <c r="J19" s="63"/>
      <c r="K19" s="63"/>
      <c r="L19" s="45"/>
      <c r="M19" s="45"/>
    </row>
    <row r="20" spans="1:13" ht="12.75">
      <c r="A20" s="42"/>
      <c r="B20" s="42"/>
      <c r="C20" s="48"/>
      <c r="D20" s="64"/>
      <c r="E20" s="64"/>
      <c r="F20" s="65"/>
      <c r="G20" s="65"/>
      <c r="H20" s="65"/>
      <c r="I20" s="65"/>
      <c r="J20" s="65"/>
      <c r="K20" s="65"/>
      <c r="L20" s="45"/>
      <c r="M20" s="43"/>
    </row>
    <row r="21" spans="1:13" ht="12.75">
      <c r="A21" s="42" t="s">
        <v>80</v>
      </c>
      <c r="B21" s="42"/>
      <c r="C21" s="42"/>
      <c r="D21" s="61">
        <v>1.36</v>
      </c>
      <c r="E21" s="61">
        <v>0.01</v>
      </c>
      <c r="F21" s="63">
        <v>55618463</v>
      </c>
      <c r="G21" s="63">
        <v>46031718</v>
      </c>
      <c r="H21" s="63">
        <v>102055578</v>
      </c>
      <c r="I21" s="63">
        <f>+H21-G21-F21</f>
        <v>405397</v>
      </c>
      <c r="J21" s="63"/>
      <c r="K21" s="63"/>
      <c r="L21" s="43"/>
      <c r="M21" s="43"/>
    </row>
    <row r="22" spans="1:13" ht="12.75">
      <c r="A22" s="48"/>
      <c r="B22" s="48"/>
      <c r="C22" s="48"/>
      <c r="D22" s="64"/>
      <c r="E22" s="64"/>
      <c r="F22" s="65"/>
      <c r="G22" s="65"/>
      <c r="H22" s="65"/>
      <c r="I22" s="65"/>
      <c r="J22" s="65"/>
      <c r="K22" s="65"/>
      <c r="L22" s="45"/>
      <c r="M22" s="43"/>
    </row>
    <row r="23" spans="1:13" ht="12.75">
      <c r="A23" s="48"/>
      <c r="B23" s="48"/>
      <c r="C23" s="48"/>
      <c r="D23" s="64"/>
      <c r="E23" s="64"/>
      <c r="F23" s="65"/>
      <c r="G23" s="65"/>
      <c r="H23" s="65"/>
      <c r="I23" s="65"/>
      <c r="J23" s="65"/>
      <c r="K23" s="65"/>
      <c r="L23" s="43"/>
      <c r="M23" s="43"/>
    </row>
    <row r="24" spans="1:13" ht="12.75">
      <c r="A24" s="69"/>
      <c r="B24" s="69"/>
      <c r="C24" s="69"/>
      <c r="D24" s="69"/>
      <c r="E24" s="69"/>
      <c r="F24" s="69"/>
      <c r="G24" s="69"/>
      <c r="H24" s="69"/>
      <c r="I24" s="69"/>
      <c r="J24" s="69"/>
      <c r="K24" s="69"/>
      <c r="L24" s="43"/>
      <c r="M24" s="43"/>
    </row>
    <row r="25" spans="1:13" ht="12.75">
      <c r="A25" s="47"/>
      <c r="B25" s="47"/>
      <c r="C25" s="47"/>
      <c r="D25" s="47"/>
      <c r="E25" s="47"/>
      <c r="F25" s="47"/>
      <c r="G25" s="47"/>
      <c r="H25" s="47"/>
      <c r="I25" s="47"/>
      <c r="J25" s="47"/>
      <c r="K25" s="47"/>
      <c r="L25" s="43"/>
      <c r="M25" s="43"/>
    </row>
    <row r="26" spans="1:13" ht="12.75">
      <c r="A26" s="47"/>
      <c r="B26" s="47"/>
      <c r="C26" s="47"/>
      <c r="D26" s="47"/>
      <c r="E26" s="47"/>
      <c r="F26" s="47"/>
      <c r="G26" s="47"/>
      <c r="H26" s="47"/>
      <c r="I26" s="47"/>
      <c r="J26" s="47"/>
      <c r="K26" s="47"/>
      <c r="L26" s="43"/>
      <c r="M26" s="43"/>
    </row>
    <row r="27" spans="1:13" ht="12.75">
      <c r="A27" s="43"/>
      <c r="B27" s="43"/>
      <c r="C27" s="43"/>
      <c r="D27" s="43"/>
      <c r="E27" s="43"/>
      <c r="F27" s="43"/>
      <c r="G27" s="43"/>
      <c r="H27" s="43"/>
      <c r="I27" s="43"/>
      <c r="J27" s="43"/>
      <c r="K27" s="43"/>
      <c r="L27" s="43"/>
      <c r="M27" s="43"/>
    </row>
    <row r="40" ht="12.75">
      <c r="A40">
        <f>22701586+55852</f>
        <v>22757438</v>
      </c>
    </row>
  </sheetData>
  <printOptions/>
  <pageMargins left="0.7480314960629921" right="0.5118110236220472" top="0.984251968503937" bottom="0.984251968503937" header="0" footer="0"/>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2007-04-10T20:38:39Z</cp:lastPrinted>
  <dcterms:created xsi:type="dcterms:W3CDTF">1998-12-29T20:15:03Z</dcterms:created>
  <dcterms:modified xsi:type="dcterms:W3CDTF">2007-04-11T20:08:24Z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