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CUMPV" sheetId="1" r:id="rId1"/>
    <sheet name="CMUTUAL" sheetId="2" r:id="rId2"/>
  </sheets>
  <definedNames>
    <definedName name="_xlnm.Print_Area" localSheetId="0">'CUMPV'!$A$1:$M$41</definedName>
  </definedNames>
  <calcPr fullCalcOnLoad="1"/>
</workbook>
</file>

<file path=xl/sharedStrings.xml><?xml version="1.0" encoding="utf-8"?>
<sst xmlns="http://schemas.openxmlformats.org/spreadsheetml/2006/main" count="112" uniqueCount="84">
  <si>
    <t>CUMPLIMIENTO DE NORMAS</t>
  </si>
  <si>
    <t>SEGUROS DE VIDA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</si>
  <si>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</si>
  <si>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</si>
  <si>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</si>
  <si>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</si>
  <si>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</si>
  <si>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</si>
  <si>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</si>
  <si>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</si>
  <si>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</si>
  <si>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</si>
  <si>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</si>
  <si>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</si>
  <si>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</si>
  <si>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</si>
  <si>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 xml:space="preserve">TOTAL ASEGURADORAS    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</si>
  <si>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</si>
  <si>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</si>
  <si>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</si>
  <si>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</si>
  <si>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</si>
  <si>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</si>
  <si>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</si>
  <si>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</si>
  <si>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</si>
  <si>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</si>
  <si>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</si>
  <si>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</si>
  <si>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</si>
  <si>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</si>
  <si>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RESERVAS </t>
  </si>
  <si>
    <t>TECNICAS</t>
  </si>
  <si>
    <t>BBVA</t>
  </si>
  <si>
    <t xml:space="preserve">Cigna   </t>
  </si>
  <si>
    <t xml:space="preserve">Huelén </t>
  </si>
  <si>
    <t>Banchile</t>
  </si>
  <si>
    <t>Met Life</t>
  </si>
  <si>
    <t>TOTAL REASEGURADORAS</t>
  </si>
  <si>
    <t xml:space="preserve">  </t>
  </si>
  <si>
    <t>Altavida</t>
  </si>
  <si>
    <t>CN Life</t>
  </si>
  <si>
    <t xml:space="preserve">Euroamérica </t>
  </si>
  <si>
    <t>Bci</t>
  </si>
  <si>
    <t xml:space="preserve">ING </t>
  </si>
  <si>
    <t>Interrrentas</t>
  </si>
  <si>
    <t>Principal</t>
  </si>
  <si>
    <t xml:space="preserve">Cardif   </t>
  </si>
  <si>
    <t xml:space="preserve"> </t>
  </si>
  <si>
    <t>Penta</t>
  </si>
  <si>
    <t xml:space="preserve">ABN Amro </t>
  </si>
  <si>
    <t xml:space="preserve">Ace </t>
  </si>
  <si>
    <t>Bice</t>
  </si>
  <si>
    <t xml:space="preserve">Mapfre  </t>
  </si>
  <si>
    <t xml:space="preserve">Security Previsión </t>
  </si>
  <si>
    <t>(al 31 de diciembre de 2005, montos expresados en miles de pesos)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</si>
  <si>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</si>
  <si>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</si>
  <si>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</si>
  <si>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</si>
  <si>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</si>
  <si>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</si>
  <si>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</si>
  <si>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</si>
  <si>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</si>
  <si>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</si>
  <si>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</si>
  <si>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</si>
  <si>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Mut. de Carabineros</t>
  </si>
  <si>
    <t>Mut. Ejérc. y Aviac.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</si>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</sst>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2"/>
    </font>
    <font>
      <sz val="10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 vertical="top"/>
    </xf>
    <xf numFmtId="3" fontId="5" fillId="0" borderId="0" xfId="0" applyNumberFormat="1" applyFont="1" applyFill="1" applyAlignment="1" quotePrefix="1">
      <alignment horizontal="left" vertical="top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5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justify" vertical="top" wrapText="1"/>
    </xf>
    <xf numFmtId="3" fontId="9" fillId="0" borderId="0" xfId="0" applyNumberFormat="1" applyFont="1" applyFill="1" applyAlignment="1">
      <alignment horizontal="justify" vertical="top" wrapText="1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 quotePrefix="1">
      <alignment horizontal="center"/>
    </xf>
    <xf numFmtId="2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64"/>
  <sheetViews>
    <sheetView tabSelected="1" zoomScale="80" zoomScaleNormal="80" workbookViewId="0" topLeftCell="A1">
      <selection activeCell="C34" sqref="C34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2.140625" style="1" bestFit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3.57421875" style="1" customWidth="1"/>
    <col min="11" max="11" width="18.57421875" style="1" bestFit="1" customWidth="1"/>
    <col min="12" max="12" width="15.57421875" style="1" customWidth="1"/>
    <col min="13" max="13" width="13.57421875" style="1" customWidth="1"/>
    <col min="14" max="14" width="14.57421875" style="1" bestFit="1" customWidth="1"/>
    <col min="15" max="16384" width="11.421875" style="1" customWidth="1"/>
  </cols>
  <sheetData>
    <row r="1" spans="1:5" ht="12.75">
      <c r="A1" s="41" t="s">
        <v>0</v>
      </c>
      <c r="B1" s="41"/>
      <c r="C1" s="42"/>
      <c r="D1" s="42"/>
      <c r="E1" s="16"/>
    </row>
    <row r="2" spans="1:4" ht="12.75">
      <c r="A2" s="43" t="s">
        <v>1</v>
      </c>
      <c r="B2" s="43"/>
      <c r="C2" s="42"/>
      <c r="D2" s="42"/>
    </row>
    <row r="3" spans="1:13" ht="12.75">
      <c r="A3" s="11" t="s">
        <v>55</v>
      </c>
      <c r="B3" s="43"/>
      <c r="C3" s="42"/>
      <c r="D3" s="42"/>
      <c r="M3" s="8"/>
    </row>
    <row r="4" spans="1:14" ht="12.75">
      <c r="A4" s="10" t="s">
        <v>2</v>
      </c>
      <c r="B4" s="10"/>
      <c r="C4" s="6" t="s">
        <v>3</v>
      </c>
      <c r="D4" s="49" t="s">
        <v>17</v>
      </c>
      <c r="E4" s="49"/>
      <c r="F4" s="6" t="s">
        <v>4</v>
      </c>
      <c r="G4" s="7" t="s">
        <v>5</v>
      </c>
      <c r="H4" s="7" t="s">
        <v>6</v>
      </c>
      <c r="I4" s="6" t="s">
        <v>29</v>
      </c>
      <c r="J4" s="12" t="s">
        <v>7</v>
      </c>
      <c r="K4" s="12" t="s">
        <v>7</v>
      </c>
      <c r="L4" s="6" t="s">
        <v>7</v>
      </c>
      <c r="M4" s="6" t="s">
        <v>7</v>
      </c>
      <c r="N4" s="16" t="s">
        <v>31</v>
      </c>
    </row>
    <row r="5" spans="1:14" ht="12.75">
      <c r="A5" s="3"/>
      <c r="B5" s="3"/>
      <c r="C5" s="4" t="s">
        <v>8</v>
      </c>
      <c r="D5" s="5" t="s">
        <v>9</v>
      </c>
      <c r="E5" s="5" t="s">
        <v>10</v>
      </c>
      <c r="F5" s="4" t="s">
        <v>11</v>
      </c>
      <c r="G5" s="2" t="s">
        <v>12</v>
      </c>
      <c r="H5" s="5" t="s">
        <v>13</v>
      </c>
      <c r="I5" s="5" t="s">
        <v>14</v>
      </c>
      <c r="J5" s="13" t="s">
        <v>26</v>
      </c>
      <c r="K5" s="13" t="s">
        <v>27</v>
      </c>
      <c r="L5" s="15" t="s">
        <v>28</v>
      </c>
      <c r="M5" s="14" t="s">
        <v>25</v>
      </c>
      <c r="N5" s="16" t="s">
        <v>32</v>
      </c>
    </row>
    <row r="6" spans="1:13" ht="12.75">
      <c r="A6" s="8"/>
      <c r="B6" s="8"/>
      <c r="C6" s="8"/>
      <c r="D6" s="8"/>
      <c r="E6" s="8"/>
      <c r="F6" s="22" t="s">
        <v>15</v>
      </c>
      <c r="G6" s="23" t="s">
        <v>8</v>
      </c>
      <c r="H6" s="22" t="s">
        <v>15</v>
      </c>
      <c r="I6" s="24"/>
      <c r="J6" s="8"/>
      <c r="K6" s="8"/>
      <c r="L6" s="8"/>
      <c r="M6" s="8"/>
    </row>
    <row r="7" spans="1:13" ht="12.75">
      <c r="A7" s="3"/>
      <c r="B7" s="3"/>
      <c r="C7" s="3"/>
      <c r="D7" s="3"/>
      <c r="E7" s="3"/>
      <c r="F7" s="4"/>
      <c r="G7" s="9"/>
      <c r="H7" s="4"/>
      <c r="I7" s="5"/>
      <c r="J7" s="3"/>
      <c r="K7" s="3"/>
      <c r="L7" s="3"/>
      <c r="M7" s="3"/>
    </row>
    <row r="8" spans="1:14" s="18" customFormat="1" ht="12.75">
      <c r="A8" s="46" t="s">
        <v>50</v>
      </c>
      <c r="B8" s="46"/>
      <c r="C8" s="18">
        <v>1649802</v>
      </c>
      <c r="D8" s="20">
        <v>0.95</v>
      </c>
      <c r="E8" s="20">
        <v>0.48</v>
      </c>
      <c r="F8" s="18">
        <v>3333325</v>
      </c>
      <c r="G8" s="18">
        <f>+J8+K8+L8+M8</f>
        <v>3561618</v>
      </c>
      <c r="H8" s="17">
        <f aca="true" t="shared" si="0" ref="H8:H33">G8-F8</f>
        <v>228293</v>
      </c>
      <c r="I8" s="18">
        <v>316770</v>
      </c>
      <c r="J8" s="18">
        <v>0</v>
      </c>
      <c r="K8" s="18">
        <f>207414+863691+697471</f>
        <v>1768576</v>
      </c>
      <c r="L8" s="18">
        <v>0</v>
      </c>
      <c r="M8" s="18">
        <v>1793042</v>
      </c>
      <c r="N8" s="18">
        <f>+F8-C8</f>
        <v>1683523</v>
      </c>
    </row>
    <row r="9" spans="1:14" s="18" customFormat="1" ht="12.75">
      <c r="A9" s="46" t="s">
        <v>51</v>
      </c>
      <c r="B9" s="46"/>
      <c r="C9" s="18">
        <v>1617733</v>
      </c>
      <c r="D9" s="20">
        <v>0.52</v>
      </c>
      <c r="E9" s="20">
        <v>0.52</v>
      </c>
      <c r="F9" s="18">
        <v>1617733</v>
      </c>
      <c r="G9" s="18">
        <f>+J9+K9+L9+M9</f>
        <v>2178579</v>
      </c>
      <c r="H9" s="17">
        <f>G9-F9</f>
        <v>560846</v>
      </c>
      <c r="I9" s="18">
        <v>356732</v>
      </c>
      <c r="J9" s="18">
        <v>0</v>
      </c>
      <c r="K9" s="18">
        <v>0</v>
      </c>
      <c r="L9" s="18">
        <v>0</v>
      </c>
      <c r="M9" s="18">
        <v>2178579</v>
      </c>
      <c r="N9" s="18">
        <f>+F9-C9</f>
        <v>0</v>
      </c>
    </row>
    <row r="10" spans="1:14" s="17" customFormat="1" ht="12.75">
      <c r="A10" s="19" t="s">
        <v>40</v>
      </c>
      <c r="B10" s="21"/>
      <c r="C10" s="18">
        <v>9541859</v>
      </c>
      <c r="D10" s="20">
        <v>0.88</v>
      </c>
      <c r="E10" s="20">
        <v>0.23</v>
      </c>
      <c r="F10" s="18">
        <v>36666878</v>
      </c>
      <c r="G10" s="17">
        <f aca="true" t="shared" si="1" ref="G10:G33">+J10+K10+L10+M10</f>
        <v>40219727</v>
      </c>
      <c r="H10" s="17">
        <f t="shared" si="0"/>
        <v>3552849</v>
      </c>
      <c r="I10" s="18">
        <v>21253476</v>
      </c>
      <c r="J10" s="18">
        <v>0</v>
      </c>
      <c r="K10" s="18">
        <f>4494870+21584787+1120809</f>
        <v>27200466</v>
      </c>
      <c r="L10" s="18">
        <v>51012</v>
      </c>
      <c r="M10" s="18">
        <v>12968249</v>
      </c>
      <c r="N10" s="18">
        <f aca="true" t="shared" si="2" ref="N10:N33">+F10-C10</f>
        <v>27125019</v>
      </c>
    </row>
    <row r="11" spans="1:14" s="17" customFormat="1" ht="12.75">
      <c r="A11" s="19" t="s">
        <v>36</v>
      </c>
      <c r="B11" s="19"/>
      <c r="C11" s="18">
        <v>4172446</v>
      </c>
      <c r="D11" s="20">
        <v>2.51</v>
      </c>
      <c r="E11" s="20">
        <v>0.68</v>
      </c>
      <c r="F11" s="18">
        <v>15693336</v>
      </c>
      <c r="G11" s="17">
        <f t="shared" si="1"/>
        <v>18019409</v>
      </c>
      <c r="H11" s="17">
        <f t="shared" si="0"/>
        <v>2326073</v>
      </c>
      <c r="I11" s="18">
        <v>1273410</v>
      </c>
      <c r="J11" s="18">
        <v>0</v>
      </c>
      <c r="K11" s="18">
        <f>2010202+9117256+6635+428859</f>
        <v>11562952</v>
      </c>
      <c r="L11" s="18">
        <v>0</v>
      </c>
      <c r="M11" s="18">
        <v>6456457</v>
      </c>
      <c r="N11" s="18">
        <f t="shared" si="2"/>
        <v>11520890</v>
      </c>
    </row>
    <row r="12" spans="1:14" s="18" customFormat="1" ht="12.75">
      <c r="A12" s="19" t="s">
        <v>33</v>
      </c>
      <c r="B12" s="19"/>
      <c r="C12" s="18">
        <v>5961142</v>
      </c>
      <c r="D12" s="20">
        <v>5.86</v>
      </c>
      <c r="E12" s="20">
        <v>0.12</v>
      </c>
      <c r="F12" s="18">
        <v>89013425</v>
      </c>
      <c r="G12" s="18">
        <f>+J12+K12+L12+M12</f>
        <v>98478620</v>
      </c>
      <c r="H12" s="17">
        <f>G12-F12</f>
        <v>9465195</v>
      </c>
      <c r="I12" s="18">
        <v>38332</v>
      </c>
      <c r="J12" s="18">
        <v>78988817</v>
      </c>
      <c r="K12" s="18">
        <f>468739+3594727</f>
        <v>4063466</v>
      </c>
      <c r="L12" s="18">
        <v>0</v>
      </c>
      <c r="M12" s="18">
        <v>15426337</v>
      </c>
      <c r="N12" s="18">
        <f t="shared" si="2"/>
        <v>83052283</v>
      </c>
    </row>
    <row r="13" spans="1:14" s="18" customFormat="1" ht="12.75">
      <c r="A13" s="19" t="s">
        <v>43</v>
      </c>
      <c r="B13" s="19"/>
      <c r="C13" s="18">
        <v>4881666</v>
      </c>
      <c r="D13" s="20">
        <v>4.49</v>
      </c>
      <c r="E13" s="20">
        <v>0.44</v>
      </c>
      <c r="F13" s="18">
        <v>45710986</v>
      </c>
      <c r="G13" s="17">
        <f>+J13+K13+L13+M13</f>
        <v>50589636</v>
      </c>
      <c r="H13" s="17">
        <f>G13-F13</f>
        <v>4878650</v>
      </c>
      <c r="I13" s="18">
        <v>379552</v>
      </c>
      <c r="J13" s="18">
        <v>22755892</v>
      </c>
      <c r="K13" s="18">
        <f>2293112+7524407+508200+7915533</f>
        <v>18241252</v>
      </c>
      <c r="L13" s="18">
        <v>0</v>
      </c>
      <c r="M13" s="18">
        <v>9592492</v>
      </c>
      <c r="N13" s="18">
        <f>+F13-C13</f>
        <v>40829320</v>
      </c>
    </row>
    <row r="14" spans="1:14" s="18" customFormat="1" ht="12.75">
      <c r="A14" s="47" t="s">
        <v>52</v>
      </c>
      <c r="B14" s="48"/>
      <c r="C14" s="18">
        <v>82245866</v>
      </c>
      <c r="D14" s="20">
        <v>9.98</v>
      </c>
      <c r="E14" s="20">
        <v>0.53</v>
      </c>
      <c r="F14" s="18">
        <v>1294533054</v>
      </c>
      <c r="G14" s="18">
        <f>+J14+K14+L14+M14</f>
        <v>1302536131</v>
      </c>
      <c r="H14" s="17">
        <f t="shared" si="0"/>
        <v>8003077</v>
      </c>
      <c r="I14" s="18">
        <v>37043581</v>
      </c>
      <c r="J14" s="18">
        <v>1172488423</v>
      </c>
      <c r="K14" s="18">
        <f>3464407+29571706+4458+7256684</f>
        <v>40297255</v>
      </c>
      <c r="L14" s="18">
        <v>5873</v>
      </c>
      <c r="M14" s="18">
        <v>89744580</v>
      </c>
      <c r="N14" s="18">
        <f t="shared" si="2"/>
        <v>1212287188</v>
      </c>
    </row>
    <row r="15" spans="1:14" s="17" customFormat="1" ht="12.75">
      <c r="A15" s="19" t="s">
        <v>47</v>
      </c>
      <c r="B15" s="21"/>
      <c r="C15" s="18">
        <v>6204561</v>
      </c>
      <c r="D15" s="20">
        <v>2.79</v>
      </c>
      <c r="E15" s="20">
        <v>0.76</v>
      </c>
      <c r="F15" s="18">
        <v>22630767</v>
      </c>
      <c r="G15" s="17">
        <f>+J15+K15+L15+M15</f>
        <v>23096605</v>
      </c>
      <c r="H15" s="17">
        <f t="shared" si="0"/>
        <v>465838</v>
      </c>
      <c r="I15" s="18">
        <v>267576</v>
      </c>
      <c r="J15" s="18">
        <v>0</v>
      </c>
      <c r="K15" s="18">
        <f>1705989+14720217</f>
        <v>16426206</v>
      </c>
      <c r="L15" s="18">
        <v>0</v>
      </c>
      <c r="M15" s="18">
        <v>6670399</v>
      </c>
      <c r="N15" s="17">
        <f t="shared" si="2"/>
        <v>16426206</v>
      </c>
    </row>
    <row r="16" spans="1:14" s="18" customFormat="1" ht="12.75">
      <c r="A16" s="19" t="s">
        <v>19</v>
      </c>
      <c r="B16" s="21"/>
      <c r="C16" s="18">
        <v>39748233</v>
      </c>
      <c r="D16" s="20">
        <v>7.47</v>
      </c>
      <c r="E16" s="20">
        <v>0.26</v>
      </c>
      <c r="F16" s="18">
        <v>632471121</v>
      </c>
      <c r="G16" s="18">
        <f t="shared" si="1"/>
        <v>665990770</v>
      </c>
      <c r="H16" s="17">
        <f t="shared" si="0"/>
        <v>33519649</v>
      </c>
      <c r="I16" s="18">
        <v>3152320</v>
      </c>
      <c r="J16" s="18">
        <v>515925312</v>
      </c>
      <c r="K16" s="18">
        <f>11448040+31109262+7084974+26280144</f>
        <v>75922420</v>
      </c>
      <c r="L16" s="18">
        <v>1066250</v>
      </c>
      <c r="M16" s="18">
        <v>73076788</v>
      </c>
      <c r="N16" s="18">
        <f t="shared" si="2"/>
        <v>592722888</v>
      </c>
    </row>
    <row r="17" spans="1:14" s="27" customFormat="1" ht="12.75">
      <c r="A17" s="19" t="s">
        <v>34</v>
      </c>
      <c r="B17" s="19"/>
      <c r="C17" s="17">
        <v>7876721</v>
      </c>
      <c r="D17" s="26">
        <v>5.32</v>
      </c>
      <c r="E17" s="26">
        <v>0.13</v>
      </c>
      <c r="F17" s="17">
        <v>97303075</v>
      </c>
      <c r="G17" s="17">
        <f t="shared" si="1"/>
        <v>106958563</v>
      </c>
      <c r="H17" s="17">
        <f t="shared" si="0"/>
        <v>9655488</v>
      </c>
      <c r="I17" s="17">
        <v>136680</v>
      </c>
      <c r="J17" s="17">
        <v>95707233</v>
      </c>
      <c r="K17" s="17">
        <f>1500560+884930+989119</f>
        <v>3374609</v>
      </c>
      <c r="L17" s="17">
        <v>0</v>
      </c>
      <c r="M17" s="17">
        <v>7876721</v>
      </c>
      <c r="N17" s="17">
        <f t="shared" si="2"/>
        <v>89426354</v>
      </c>
    </row>
    <row r="18" spans="1:14" s="18" customFormat="1" ht="12.75">
      <c r="A18" s="19" t="s">
        <v>41</v>
      </c>
      <c r="B18" s="21"/>
      <c r="C18" s="18">
        <v>18071854</v>
      </c>
      <c r="D18" s="20">
        <v>5.8</v>
      </c>
      <c r="E18" s="20">
        <v>0.22</v>
      </c>
      <c r="F18" s="18">
        <v>296044037</v>
      </c>
      <c r="G18" s="18">
        <f>+J18+K18+L18+M18</f>
        <v>327577158</v>
      </c>
      <c r="H18" s="17">
        <f t="shared" si="0"/>
        <v>31533121</v>
      </c>
      <c r="I18" s="18">
        <v>496546</v>
      </c>
      <c r="J18" s="18">
        <v>276125989</v>
      </c>
      <c r="K18" s="18">
        <f>54835+1791359</f>
        <v>1846194</v>
      </c>
      <c r="L18" s="18">
        <v>49604975</v>
      </c>
      <c r="N18" s="18">
        <f>+F18-C18</f>
        <v>277972183</v>
      </c>
    </row>
    <row r="19" spans="1:14" s="18" customFormat="1" ht="12.75">
      <c r="A19" s="19" t="s">
        <v>20</v>
      </c>
      <c r="B19" s="19"/>
      <c r="C19" s="18">
        <v>135276819</v>
      </c>
      <c r="D19" s="20">
        <v>7.5</v>
      </c>
      <c r="E19" s="20">
        <v>0.61</v>
      </c>
      <c r="F19" s="18">
        <v>1716751011</v>
      </c>
      <c r="G19" s="18">
        <f t="shared" si="1"/>
        <v>1792263251</v>
      </c>
      <c r="H19" s="17">
        <f t="shared" si="0"/>
        <v>75512240</v>
      </c>
      <c r="I19" s="18">
        <v>32250294</v>
      </c>
      <c r="J19" s="18">
        <v>1460435798</v>
      </c>
      <c r="K19" s="18">
        <f>1953908+44259965+17738683+48761287</f>
        <v>112713843</v>
      </c>
      <c r="L19" s="18">
        <v>473101</v>
      </c>
      <c r="M19" s="18">
        <v>218640509</v>
      </c>
      <c r="N19" s="18">
        <f t="shared" si="2"/>
        <v>1581474192</v>
      </c>
    </row>
    <row r="20" spans="1:14" s="18" customFormat="1" ht="12.75">
      <c r="A20" s="19" t="s">
        <v>21</v>
      </c>
      <c r="B20" s="19"/>
      <c r="C20" s="18">
        <v>20338144</v>
      </c>
      <c r="D20" s="20">
        <v>7.43</v>
      </c>
      <c r="E20" s="20">
        <v>0.21</v>
      </c>
      <c r="F20" s="18">
        <v>291643587</v>
      </c>
      <c r="G20" s="18">
        <f t="shared" si="1"/>
        <v>307342557</v>
      </c>
      <c r="H20" s="17">
        <f t="shared" si="0"/>
        <v>15698970</v>
      </c>
      <c r="I20" s="18">
        <v>4860780</v>
      </c>
      <c r="J20" s="18">
        <v>255646781</v>
      </c>
      <c r="K20" s="18">
        <f>2579553+10515905+4371776+13731993</f>
        <v>31199227</v>
      </c>
      <c r="L20" s="18">
        <v>158405</v>
      </c>
      <c r="M20" s="18">
        <v>20338144</v>
      </c>
      <c r="N20" s="18">
        <f t="shared" si="2"/>
        <v>271305443</v>
      </c>
    </row>
    <row r="21" spans="1:14" s="18" customFormat="1" ht="12.75">
      <c r="A21" s="19" t="s">
        <v>42</v>
      </c>
      <c r="B21" s="19"/>
      <c r="C21" s="18">
        <v>23755324</v>
      </c>
      <c r="D21" s="20">
        <v>11.07</v>
      </c>
      <c r="E21" s="20">
        <v>0.78</v>
      </c>
      <c r="F21" s="18">
        <v>376805672</v>
      </c>
      <c r="G21" s="18">
        <f t="shared" si="1"/>
        <v>382688419</v>
      </c>
      <c r="H21" s="17">
        <f t="shared" si="0"/>
        <v>5882747</v>
      </c>
      <c r="I21" s="18">
        <v>1726993</v>
      </c>
      <c r="J21" s="18">
        <v>293432732</v>
      </c>
      <c r="K21" s="18">
        <f>2323638+13358957+20339779+25703996</f>
        <v>61726370</v>
      </c>
      <c r="L21" s="18">
        <v>459831</v>
      </c>
      <c r="M21" s="18">
        <v>27069486</v>
      </c>
      <c r="N21" s="18">
        <f t="shared" si="2"/>
        <v>353050348</v>
      </c>
    </row>
    <row r="22" spans="1:14" s="18" customFormat="1" ht="12.75">
      <c r="A22" s="19" t="s">
        <v>35</v>
      </c>
      <c r="B22" s="19"/>
      <c r="C22" s="18">
        <v>1617733</v>
      </c>
      <c r="D22" s="20">
        <v>1.08</v>
      </c>
      <c r="E22" s="20">
        <v>0.07</v>
      </c>
      <c r="F22" s="18">
        <v>4399891</v>
      </c>
      <c r="G22" s="18">
        <f t="shared" si="1"/>
        <v>5339280</v>
      </c>
      <c r="H22" s="17">
        <f t="shared" si="0"/>
        <v>939389</v>
      </c>
      <c r="I22" s="18">
        <v>213683</v>
      </c>
      <c r="J22" s="18">
        <v>0</v>
      </c>
      <c r="K22" s="18">
        <f>284264+2497894</f>
        <v>2782158</v>
      </c>
      <c r="L22" s="18">
        <v>0</v>
      </c>
      <c r="M22" s="18">
        <v>2557122</v>
      </c>
      <c r="N22" s="18">
        <f t="shared" si="2"/>
        <v>2782158</v>
      </c>
    </row>
    <row r="23" spans="1:14" s="28" customFormat="1" ht="12.75">
      <c r="A23" s="19" t="s">
        <v>44</v>
      </c>
      <c r="B23" s="19"/>
      <c r="C23" s="18">
        <v>95734251</v>
      </c>
      <c r="D23" s="20">
        <v>10.56</v>
      </c>
      <c r="E23" s="20">
        <v>0.49</v>
      </c>
      <c r="F23" s="18">
        <v>1473710890</v>
      </c>
      <c r="G23" s="17">
        <f t="shared" si="1"/>
        <v>1484251660</v>
      </c>
      <c r="H23" s="17">
        <f t="shared" si="0"/>
        <v>10540770</v>
      </c>
      <c r="I23" s="18">
        <v>24896089</v>
      </c>
      <c r="J23" s="18">
        <v>1264632760</v>
      </c>
      <c r="K23" s="18">
        <f>4380790+53435641+9889125+35020371</f>
        <v>102725927</v>
      </c>
      <c r="L23" s="18">
        <v>221568</v>
      </c>
      <c r="M23" s="18">
        <v>116671405</v>
      </c>
      <c r="N23" s="18">
        <f t="shared" si="2"/>
        <v>1377976639</v>
      </c>
    </row>
    <row r="24" spans="1:14" s="28" customFormat="1" ht="12.75">
      <c r="A24" s="19" t="s">
        <v>22</v>
      </c>
      <c r="B24" s="19"/>
      <c r="C24" s="18">
        <v>13578743</v>
      </c>
      <c r="D24" s="20">
        <v>3.2</v>
      </c>
      <c r="E24" s="20">
        <v>0.42</v>
      </c>
      <c r="F24" s="18">
        <v>135874201</v>
      </c>
      <c r="G24" s="17">
        <f t="shared" si="1"/>
        <v>147100628</v>
      </c>
      <c r="H24" s="17">
        <f>G24-F24</f>
        <v>11226427</v>
      </c>
      <c r="I24" s="18">
        <v>9197130</v>
      </c>
      <c r="J24" s="18">
        <v>42074533</v>
      </c>
      <c r="K24" s="18">
        <f>4750832+46714732+999953+38979633</f>
        <v>91445150</v>
      </c>
      <c r="L24" s="18">
        <v>2202</v>
      </c>
      <c r="M24" s="18">
        <v>13578743</v>
      </c>
      <c r="N24" s="18">
        <f>+F24-C24</f>
        <v>122295458</v>
      </c>
    </row>
    <row r="25" spans="1:14" s="18" customFormat="1" ht="12.75">
      <c r="A25" s="19" t="s">
        <v>45</v>
      </c>
      <c r="B25" s="21"/>
      <c r="C25" s="18">
        <v>31077237</v>
      </c>
      <c r="D25" s="20">
        <v>11.56</v>
      </c>
      <c r="E25" s="20">
        <v>0.18</v>
      </c>
      <c r="F25" s="18">
        <v>520465402</v>
      </c>
      <c r="G25" s="18">
        <f t="shared" si="1"/>
        <v>531654206</v>
      </c>
      <c r="H25" s="17">
        <f>G25-F25</f>
        <v>11188804</v>
      </c>
      <c r="I25" s="18">
        <v>64014</v>
      </c>
      <c r="J25" s="18">
        <v>451156050</v>
      </c>
      <c r="K25" s="18">
        <v>38232115</v>
      </c>
      <c r="L25" s="18">
        <v>0</v>
      </c>
      <c r="M25" s="18">
        <v>42266041</v>
      </c>
      <c r="N25" s="18">
        <f>+F25-C25</f>
        <v>489388165</v>
      </c>
    </row>
    <row r="26" spans="1:14" s="17" customFormat="1" ht="12.75">
      <c r="A26" s="19" t="s">
        <v>53</v>
      </c>
      <c r="B26" s="19"/>
      <c r="C26" s="18">
        <v>1617733</v>
      </c>
      <c r="D26" s="20">
        <v>5.08</v>
      </c>
      <c r="E26" s="20">
        <v>0.12</v>
      </c>
      <c r="F26" s="18">
        <v>19979637</v>
      </c>
      <c r="G26" s="17">
        <f aca="true" t="shared" si="3" ref="G26:G32">+J26+K26+L26+M26</f>
        <v>21453232</v>
      </c>
      <c r="H26" s="17">
        <f aca="true" t="shared" si="4" ref="H26:H32">G26-F26</f>
        <v>1473595</v>
      </c>
      <c r="I26" s="18">
        <v>20035</v>
      </c>
      <c r="J26" s="18">
        <v>17255491</v>
      </c>
      <c r="K26" s="18">
        <f>68404+778217+265282</f>
        <v>1111903</v>
      </c>
      <c r="L26" s="18">
        <v>0</v>
      </c>
      <c r="M26" s="18">
        <v>3085838</v>
      </c>
      <c r="N26" s="17">
        <f t="shared" si="2"/>
        <v>18361904</v>
      </c>
    </row>
    <row r="27" spans="1:14" s="17" customFormat="1" ht="12.75">
      <c r="A27" s="19" t="s">
        <v>37</v>
      </c>
      <c r="B27" s="19"/>
      <c r="C27" s="18">
        <v>74981714</v>
      </c>
      <c r="D27" s="20">
        <v>9.72</v>
      </c>
      <c r="E27" s="20">
        <v>0.34</v>
      </c>
      <c r="F27" s="18">
        <v>1128812201</v>
      </c>
      <c r="G27" s="17">
        <f t="shared" si="3"/>
        <v>1130491752</v>
      </c>
      <c r="H27" s="17">
        <f t="shared" si="4"/>
        <v>1679551</v>
      </c>
      <c r="I27" s="18">
        <v>7438763</v>
      </c>
      <c r="J27" s="18">
        <v>1005891052</v>
      </c>
      <c r="K27" s="18">
        <f>8276165+15164997+1472988+24058934</f>
        <v>48973084</v>
      </c>
      <c r="L27" s="18">
        <v>193</v>
      </c>
      <c r="M27" s="18">
        <v>75627423</v>
      </c>
      <c r="N27" s="17">
        <f t="shared" si="2"/>
        <v>1053830487</v>
      </c>
    </row>
    <row r="28" spans="1:14" s="18" customFormat="1" ht="12.75">
      <c r="A28" s="19" t="s">
        <v>30</v>
      </c>
      <c r="B28" s="19"/>
      <c r="C28" s="18">
        <v>18901475</v>
      </c>
      <c r="D28" s="20">
        <v>11.95</v>
      </c>
      <c r="E28" s="20">
        <v>0.05</v>
      </c>
      <c r="F28" s="18">
        <v>315224534</v>
      </c>
      <c r="G28" s="18">
        <f t="shared" si="3"/>
        <v>317554683</v>
      </c>
      <c r="H28" s="17">
        <f t="shared" si="4"/>
        <v>2330149</v>
      </c>
      <c r="I28" s="18">
        <v>230419</v>
      </c>
      <c r="J28" s="18">
        <v>292611952</v>
      </c>
      <c r="K28" s="18">
        <f>306038+3400375+4695</f>
        <v>3711108</v>
      </c>
      <c r="L28" s="18">
        <v>0</v>
      </c>
      <c r="M28" s="18">
        <v>21231623</v>
      </c>
      <c r="N28" s="18">
        <f>+F28-C28</f>
        <v>296323059</v>
      </c>
    </row>
    <row r="29" spans="1:14" s="17" customFormat="1" ht="12.75">
      <c r="A29" s="19" t="s">
        <v>49</v>
      </c>
      <c r="B29" s="21"/>
      <c r="C29" s="18">
        <v>35046469</v>
      </c>
      <c r="D29" s="20">
        <v>9.6</v>
      </c>
      <c r="E29" s="20">
        <v>0.34</v>
      </c>
      <c r="F29" s="18">
        <v>569961777</v>
      </c>
      <c r="G29" s="17">
        <f>+J29+K29+L29+M29</f>
        <v>581753053</v>
      </c>
      <c r="H29" s="17">
        <f>G29-F29</f>
        <v>11791276</v>
      </c>
      <c r="I29" s="18">
        <v>9277433</v>
      </c>
      <c r="J29" s="18">
        <v>520919860</v>
      </c>
      <c r="K29" s="18">
        <f>330364+1769581+13207834</f>
        <v>15307779</v>
      </c>
      <c r="L29" s="18">
        <v>231720</v>
      </c>
      <c r="M29" s="18">
        <v>45293694</v>
      </c>
      <c r="N29" s="17">
        <f>+F29-C29</f>
        <v>534915308</v>
      </c>
    </row>
    <row r="30" spans="1:14" s="17" customFormat="1" ht="12.75">
      <c r="A30" s="19" t="s">
        <v>46</v>
      </c>
      <c r="B30" s="21"/>
      <c r="C30" s="18">
        <v>64908747</v>
      </c>
      <c r="D30" s="20">
        <v>13.26</v>
      </c>
      <c r="E30" s="20">
        <v>0.43</v>
      </c>
      <c r="F30" s="18">
        <v>1069280186</v>
      </c>
      <c r="G30" s="17">
        <f t="shared" si="3"/>
        <v>1076728280</v>
      </c>
      <c r="H30" s="17">
        <f t="shared" si="4"/>
        <v>7448094</v>
      </c>
      <c r="I30" s="18">
        <v>9371184</v>
      </c>
      <c r="J30" s="18">
        <v>994207159</v>
      </c>
      <c r="K30" s="18">
        <f>1131802+5231404+1904415+2370277</f>
        <v>10637898</v>
      </c>
      <c r="L30" s="18">
        <v>0</v>
      </c>
      <c r="M30" s="18">
        <v>71883223</v>
      </c>
      <c r="N30" s="17">
        <f>+F30-C30</f>
        <v>1004371439</v>
      </c>
    </row>
    <row r="31" spans="1:14" s="18" customFormat="1" ht="12.75">
      <c r="A31" s="19" t="s">
        <v>23</v>
      </c>
      <c r="B31" s="19"/>
      <c r="C31" s="18">
        <v>16402836</v>
      </c>
      <c r="D31" s="20">
        <v>9.04</v>
      </c>
      <c r="E31" s="20">
        <v>0.19</v>
      </c>
      <c r="F31" s="18">
        <v>273598840</v>
      </c>
      <c r="G31" s="18">
        <f t="shared" si="3"/>
        <v>275010966</v>
      </c>
      <c r="H31" s="17">
        <f t="shared" si="4"/>
        <v>1412126</v>
      </c>
      <c r="I31" s="18">
        <v>12701586</v>
      </c>
      <c r="J31" s="18">
        <v>256112968</v>
      </c>
      <c r="K31" s="18">
        <f>647335+191711+252204</f>
        <v>1091250</v>
      </c>
      <c r="L31" s="18">
        <v>1528</v>
      </c>
      <c r="M31" s="18">
        <v>17805220</v>
      </c>
      <c r="N31" s="18">
        <f>+F31-C31</f>
        <v>257196004</v>
      </c>
    </row>
    <row r="32" spans="1:14" s="17" customFormat="1" ht="12.75">
      <c r="A32" s="19" t="s">
        <v>54</v>
      </c>
      <c r="B32" s="19"/>
      <c r="C32" s="18">
        <v>6315318</v>
      </c>
      <c r="D32" s="20">
        <v>6.25</v>
      </c>
      <c r="E32" s="20">
        <v>0.49</v>
      </c>
      <c r="F32" s="18">
        <v>62852220</v>
      </c>
      <c r="G32" s="18">
        <f t="shared" si="3"/>
        <v>63445075</v>
      </c>
      <c r="H32" s="17">
        <f t="shared" si="4"/>
        <v>592855</v>
      </c>
      <c r="I32" s="18">
        <v>1507952</v>
      </c>
      <c r="J32" s="18">
        <v>37662038</v>
      </c>
      <c r="K32" s="18">
        <f>1605364+3847069+8574373+4972336</f>
        <v>18999142</v>
      </c>
      <c r="L32" s="18">
        <v>207156</v>
      </c>
      <c r="M32" s="18">
        <v>6576739</v>
      </c>
      <c r="N32" s="18">
        <f>+F32-C32</f>
        <v>56536902</v>
      </c>
    </row>
    <row r="33" spans="1:14" s="18" customFormat="1" ht="12.75">
      <c r="A33" s="19" t="s">
        <v>24</v>
      </c>
      <c r="B33" s="19"/>
      <c r="C33" s="18">
        <v>55976765</v>
      </c>
      <c r="D33" s="20">
        <v>9.77</v>
      </c>
      <c r="E33" s="20">
        <v>0.29</v>
      </c>
      <c r="F33" s="18">
        <v>862746372</v>
      </c>
      <c r="G33" s="17">
        <f t="shared" si="1"/>
        <v>873925391</v>
      </c>
      <c r="H33" s="17">
        <f t="shared" si="0"/>
        <v>11179019</v>
      </c>
      <c r="I33" s="18">
        <v>6501060</v>
      </c>
      <c r="J33" s="18">
        <v>786128755</v>
      </c>
      <c r="K33" s="18">
        <f>670217+7826687+5463851+7126409</f>
        <v>21087164</v>
      </c>
      <c r="L33" s="18">
        <v>0</v>
      </c>
      <c r="M33" s="18">
        <v>66709472</v>
      </c>
      <c r="N33" s="18">
        <f t="shared" si="2"/>
        <v>806769607</v>
      </c>
    </row>
    <row r="34" spans="1:14" s="18" customFormat="1" ht="12.75">
      <c r="A34" s="29" t="s">
        <v>16</v>
      </c>
      <c r="B34" s="29"/>
      <c r="C34" s="30">
        <f>SUM(C8:C33)</f>
        <v>777501191</v>
      </c>
      <c r="D34" s="31"/>
      <c r="E34" s="31"/>
      <c r="F34" s="30">
        <f aca="true" t="shared" si="5" ref="F34:M34">SUM(F8:F33)</f>
        <v>11357124158</v>
      </c>
      <c r="G34" s="30">
        <f t="shared" si="5"/>
        <v>11630209249</v>
      </c>
      <c r="H34" s="30">
        <f t="shared" si="5"/>
        <v>273085091</v>
      </c>
      <c r="I34" s="30">
        <f t="shared" si="5"/>
        <v>184972390</v>
      </c>
      <c r="J34" s="30">
        <f t="shared" si="5"/>
        <v>9840159595</v>
      </c>
      <c r="K34" s="30">
        <f t="shared" si="5"/>
        <v>762447514</v>
      </c>
      <c r="L34" s="30">
        <f t="shared" si="5"/>
        <v>52483814</v>
      </c>
      <c r="M34" s="30">
        <f t="shared" si="5"/>
        <v>975118326</v>
      </c>
      <c r="N34" s="18">
        <f>SUM(N8:N33)</f>
        <v>10579622967</v>
      </c>
    </row>
    <row r="35" spans="1:13" s="18" customFormat="1" ht="12.75">
      <c r="A35" s="32"/>
      <c r="B35" s="32"/>
      <c r="D35" s="20"/>
      <c r="E35" s="20"/>
      <c r="M35" s="25"/>
    </row>
    <row r="36" spans="1:14" s="17" customFormat="1" ht="12.75">
      <c r="A36" s="19" t="s">
        <v>18</v>
      </c>
      <c r="B36" s="19"/>
      <c r="C36" s="18">
        <v>2585532</v>
      </c>
      <c r="D36" s="20">
        <v>2.27</v>
      </c>
      <c r="E36" s="20">
        <v>0.04</v>
      </c>
      <c r="F36" s="18">
        <v>43255001</v>
      </c>
      <c r="G36" s="18">
        <f>+J36+K36+L36+M36</f>
        <v>49449172</v>
      </c>
      <c r="H36" s="17">
        <f>G36-F36</f>
        <v>6194171</v>
      </c>
      <c r="I36" s="18">
        <v>9158371</v>
      </c>
      <c r="J36" s="18">
        <v>40545108</v>
      </c>
      <c r="K36" s="18">
        <f>107130+17231+0</f>
        <v>124361</v>
      </c>
      <c r="L36" s="18">
        <v>0</v>
      </c>
      <c r="M36" s="18">
        <v>8779703</v>
      </c>
      <c r="N36" s="34">
        <f>+F36-C36</f>
        <v>40669469</v>
      </c>
    </row>
    <row r="37" spans="1:15" s="18" customFormat="1" ht="12.75">
      <c r="A37" s="33" t="s">
        <v>38</v>
      </c>
      <c r="B37" s="33"/>
      <c r="C37" s="30">
        <f aca="true" t="shared" si="6" ref="C37:H37">SUM(C36:C36)</f>
        <v>2585532</v>
      </c>
      <c r="D37" s="31"/>
      <c r="E37" s="31"/>
      <c r="F37" s="30">
        <f t="shared" si="6"/>
        <v>43255001</v>
      </c>
      <c r="G37" s="30">
        <f t="shared" si="6"/>
        <v>49449172</v>
      </c>
      <c r="H37" s="30">
        <f t="shared" si="6"/>
        <v>6194171</v>
      </c>
      <c r="I37" s="30">
        <f aca="true" t="shared" si="7" ref="I37:N37">SUM(I36:I36)</f>
        <v>9158371</v>
      </c>
      <c r="J37" s="30">
        <f t="shared" si="7"/>
        <v>40545108</v>
      </c>
      <c r="K37" s="30">
        <f t="shared" si="7"/>
        <v>124361</v>
      </c>
      <c r="L37" s="30">
        <f t="shared" si="7"/>
        <v>0</v>
      </c>
      <c r="M37" s="30">
        <f t="shared" si="7"/>
        <v>8779703</v>
      </c>
      <c r="N37" s="34">
        <f t="shared" si="7"/>
        <v>40669469</v>
      </c>
      <c r="O37" s="34"/>
    </row>
    <row r="38" spans="4:14" s="18" customFormat="1" ht="12.75">
      <c r="D38" s="20"/>
      <c r="E38" s="20"/>
      <c r="I38" s="17"/>
      <c r="J38" s="17"/>
      <c r="K38" s="17"/>
      <c r="M38" s="25"/>
      <c r="N38" s="34"/>
    </row>
    <row r="39" spans="1:14" s="18" customFormat="1" ht="12.75">
      <c r="A39" s="35" t="s">
        <v>9</v>
      </c>
      <c r="B39" s="35"/>
      <c r="C39" s="36">
        <f>C34+C37</f>
        <v>780086723</v>
      </c>
      <c r="D39" s="37"/>
      <c r="E39" s="37"/>
      <c r="F39" s="36">
        <f aca="true" t="shared" si="8" ref="F39:M39">F34+F37</f>
        <v>11400379159</v>
      </c>
      <c r="G39" s="36">
        <f t="shared" si="8"/>
        <v>11679658421</v>
      </c>
      <c r="H39" s="36">
        <f t="shared" si="8"/>
        <v>279279262</v>
      </c>
      <c r="I39" s="36">
        <f t="shared" si="8"/>
        <v>194130761</v>
      </c>
      <c r="J39" s="38">
        <f t="shared" si="8"/>
        <v>9880704703</v>
      </c>
      <c r="K39" s="38">
        <f t="shared" si="8"/>
        <v>762571875</v>
      </c>
      <c r="L39" s="36">
        <f t="shared" si="8"/>
        <v>52483814</v>
      </c>
      <c r="M39" s="36">
        <f t="shared" si="8"/>
        <v>983898029</v>
      </c>
      <c r="N39" s="18">
        <f>+N34+N37</f>
        <v>10620292436</v>
      </c>
    </row>
    <row r="40" spans="1:13" s="18" customFormat="1" ht="9.75" customHeight="1">
      <c r="A40" s="39"/>
      <c r="B40" s="44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18" customFormat="1" ht="26.25" customHeight="1">
      <c r="A41" s="45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48"/>
    </row>
    <row r="42" spans="1:13" s="18" customFormat="1" ht="12.75" customHeight="1">
      <c r="A42" s="40"/>
      <c r="B42" s="50" t="s">
        <v>48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</row>
    <row r="43" spans="1:13" s="18" customFormat="1" ht="12.75" customHeight="1">
      <c r="A43" s="4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5" s="18" customFormat="1" ht="12.75">
      <c r="A44" s="40"/>
      <c r="B44" s="40"/>
      <c r="D44" s="20"/>
      <c r="E44" s="20"/>
    </row>
    <row r="45" spans="1:5" s="18" customFormat="1" ht="12.75">
      <c r="A45" s="40"/>
      <c r="B45" s="40"/>
      <c r="D45" s="20"/>
      <c r="E45" s="20"/>
    </row>
    <row r="46" spans="1:5" s="18" customFormat="1" ht="12.75">
      <c r="A46" s="25"/>
      <c r="B46" s="46"/>
      <c r="C46" s="46"/>
      <c r="D46" s="20"/>
      <c r="E46" s="20"/>
    </row>
    <row r="47" spans="1:5" s="18" customFormat="1" ht="12.75">
      <c r="A47" s="25"/>
      <c r="B47" s="19"/>
      <c r="C47" s="21"/>
      <c r="D47" s="20"/>
      <c r="E47" s="20"/>
    </row>
    <row r="48" spans="1:5" s="18" customFormat="1" ht="12.75">
      <c r="A48" s="25"/>
      <c r="B48" s="19"/>
      <c r="C48" s="19"/>
      <c r="D48" s="20"/>
      <c r="E48" s="20"/>
    </row>
    <row r="49" spans="1:6" s="18" customFormat="1" ht="12.75">
      <c r="A49" s="25"/>
      <c r="B49" s="19"/>
      <c r="C49" s="19"/>
      <c r="D49" s="20"/>
      <c r="E49" s="20"/>
      <c r="F49" s="18" t="s">
        <v>39</v>
      </c>
    </row>
    <row r="50" spans="2:5" s="18" customFormat="1" ht="12.75">
      <c r="B50" s="19"/>
      <c r="C50" s="19"/>
      <c r="D50" s="20"/>
      <c r="E50" s="20"/>
    </row>
    <row r="51" spans="2:5" s="18" customFormat="1" ht="12.75">
      <c r="B51" s="21"/>
      <c r="C51" s="21"/>
      <c r="D51" s="20"/>
      <c r="E51" s="20"/>
    </row>
    <row r="52" spans="4:5" s="18" customFormat="1" ht="12.75">
      <c r="D52" s="20"/>
      <c r="E52" s="20"/>
    </row>
    <row r="53" spans="4:5" s="18" customFormat="1" ht="12.75">
      <c r="D53" s="20"/>
      <c r="E53" s="20"/>
    </row>
    <row r="54" spans="4:5" s="18" customFormat="1" ht="12.75">
      <c r="D54" s="20"/>
      <c r="E54" s="20"/>
    </row>
    <row r="55" spans="4:5" s="18" customFormat="1" ht="12.75">
      <c r="D55" s="20"/>
      <c r="E55" s="20"/>
    </row>
    <row r="56" spans="4:5" s="18" customFormat="1" ht="12.75">
      <c r="D56" s="20"/>
      <c r="E56" s="20"/>
    </row>
    <row r="57" spans="4:5" s="18" customFormat="1" ht="12.75">
      <c r="D57" s="20"/>
      <c r="E57" s="20"/>
    </row>
    <row r="58" spans="4:5" s="18" customFormat="1" ht="12.75">
      <c r="D58" s="20"/>
      <c r="E58" s="20"/>
    </row>
    <row r="59" spans="4:5" s="18" customFormat="1" ht="12.75">
      <c r="D59" s="20"/>
      <c r="E59" s="20"/>
    </row>
    <row r="60" spans="4:5" s="18" customFormat="1" ht="12.75">
      <c r="D60" s="20"/>
      <c r="E60" s="20"/>
    </row>
    <row r="61" spans="4:5" s="18" customFormat="1" ht="12.75">
      <c r="D61" s="20"/>
      <c r="E61" s="20"/>
    </row>
    <row r="62" spans="4:5" s="18" customFormat="1" ht="12.75">
      <c r="D62" s="20"/>
      <c r="E62" s="20"/>
    </row>
    <row r="63" spans="4:5" s="18" customFormat="1" ht="12.75">
      <c r="D63" s="20"/>
      <c r="E63" s="20"/>
    </row>
    <row r="64" spans="4:5" s="18" customFormat="1" ht="12.75">
      <c r="D64" s="20"/>
      <c r="E64" s="20"/>
    </row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</sheetData>
  <mergeCells count="9">
    <mergeCell ref="B46:C46"/>
    <mergeCell ref="A14:B14"/>
    <mergeCell ref="D4:E4"/>
    <mergeCell ref="A8:B8"/>
    <mergeCell ref="B41:M41"/>
    <mergeCell ref="B42:M42"/>
    <mergeCell ref="B43:M43"/>
    <mergeCell ref="C40:M40"/>
    <mergeCell ref="A9:B9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42"/>
  <sheetViews>
    <sheetView zoomScale="90" zoomScaleNormal="90" workbookViewId="0" topLeftCell="A1">
      <selection activeCell="E29" sqref="E29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ht="12.75">
      <c r="A1" s="54"/>
    </row>
    <row r="2" ht="12.75">
      <c r="A2" s="41" t="s">
        <v>0</v>
      </c>
    </row>
    <row r="3" spans="1:11" ht="12.75">
      <c r="A3" s="85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.75">
      <c r="A4" s="57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58" customFormat="1" ht="12.75">
      <c r="A6" s="56" t="s">
        <v>57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.75">
      <c r="A7" s="10" t="s">
        <v>2</v>
      </c>
      <c r="B7" s="59"/>
      <c r="C7" s="59"/>
      <c r="D7" s="60" t="s">
        <v>58</v>
      </c>
      <c r="E7" s="61"/>
      <c r="F7" s="62" t="s">
        <v>59</v>
      </c>
      <c r="G7" s="62" t="s">
        <v>7</v>
      </c>
      <c r="H7" s="63" t="s">
        <v>60</v>
      </c>
      <c r="I7" s="62" t="s">
        <v>59</v>
      </c>
      <c r="J7" s="62" t="s">
        <v>7</v>
      </c>
      <c r="K7" s="63" t="s">
        <v>60</v>
      </c>
    </row>
    <row r="8" spans="1:11" ht="12.75">
      <c r="A8" s="64"/>
      <c r="B8" s="64"/>
      <c r="C8" s="64"/>
      <c r="D8" s="5" t="s">
        <v>9</v>
      </c>
      <c r="E8" s="5" t="s">
        <v>10</v>
      </c>
      <c r="F8" s="65" t="s">
        <v>61</v>
      </c>
      <c r="G8" s="65" t="s">
        <v>62</v>
      </c>
      <c r="H8" s="65" t="s">
        <v>63</v>
      </c>
      <c r="I8" s="65" t="s">
        <v>64</v>
      </c>
      <c r="J8" s="65" t="s">
        <v>62</v>
      </c>
      <c r="K8" s="65" t="s">
        <v>63</v>
      </c>
    </row>
    <row r="9" spans="1:11" ht="12.75">
      <c r="A9" s="66"/>
      <c r="B9" s="66"/>
      <c r="C9" s="66"/>
      <c r="D9" s="66"/>
      <c r="E9" s="66"/>
      <c r="F9" s="67" t="s">
        <v>65</v>
      </c>
      <c r="G9" s="67" t="s">
        <v>66</v>
      </c>
      <c r="H9" s="67" t="s">
        <v>66</v>
      </c>
      <c r="I9" s="67" t="s">
        <v>3</v>
      </c>
      <c r="J9" s="68" t="s">
        <v>67</v>
      </c>
      <c r="K9" s="68" t="s">
        <v>67</v>
      </c>
    </row>
    <row r="10" spans="1:11" ht="12.75">
      <c r="A10" s="64"/>
      <c r="B10" s="64"/>
      <c r="C10" s="64"/>
      <c r="D10" s="69"/>
      <c r="E10" s="69"/>
      <c r="F10" s="70"/>
      <c r="G10" s="70"/>
      <c r="H10" s="70"/>
      <c r="I10" s="70"/>
      <c r="J10" s="71"/>
      <c r="K10" s="71"/>
    </row>
    <row r="11" spans="1:11" ht="12.75">
      <c r="A11" s="72" t="s">
        <v>68</v>
      </c>
      <c r="B11" s="64"/>
      <c r="C11" s="64"/>
      <c r="D11" s="73">
        <v>1.04</v>
      </c>
      <c r="E11" s="74">
        <v>0.004</v>
      </c>
      <c r="F11" s="75">
        <v>57826740</v>
      </c>
      <c r="G11" s="75">
        <f>56452716+1374024</f>
        <v>57826740</v>
      </c>
      <c r="H11" s="75">
        <f>G11-F11</f>
        <v>0</v>
      </c>
      <c r="I11" s="75">
        <v>55433630</v>
      </c>
      <c r="J11" s="75">
        <v>55629963</v>
      </c>
      <c r="K11" s="75">
        <f>J11-I11</f>
        <v>196333</v>
      </c>
    </row>
    <row r="12" spans="1:11" ht="12.75">
      <c r="A12" s="55" t="s">
        <v>69</v>
      </c>
      <c r="B12" s="64"/>
      <c r="C12" s="64"/>
      <c r="D12" s="73">
        <v>0.46</v>
      </c>
      <c r="E12" s="73">
        <v>0.01</v>
      </c>
      <c r="F12" s="75">
        <v>16224735</v>
      </c>
      <c r="G12" s="75">
        <f>421566+9983781+5819388</f>
        <v>16224735</v>
      </c>
      <c r="H12" s="75">
        <f>G12-F12</f>
        <v>0</v>
      </c>
      <c r="I12" s="75">
        <v>36377759</v>
      </c>
      <c r="J12" s="75">
        <v>36776939</v>
      </c>
      <c r="K12" s="75">
        <f>J12-I12</f>
        <v>399180</v>
      </c>
    </row>
    <row r="13" spans="1:11" ht="12.75">
      <c r="A13" s="64"/>
      <c r="B13" s="64"/>
      <c r="C13" s="64"/>
      <c r="D13" s="69"/>
      <c r="E13" s="69"/>
      <c r="F13" s="75"/>
      <c r="G13" s="75"/>
      <c r="H13" s="75"/>
      <c r="I13" s="75"/>
      <c r="J13" s="75"/>
      <c r="K13" s="75"/>
    </row>
    <row r="14" spans="1:11" ht="12.75">
      <c r="A14" s="56"/>
      <c r="B14" s="56"/>
      <c r="C14" s="56"/>
      <c r="D14" s="76"/>
      <c r="E14" s="76"/>
      <c r="F14" s="77"/>
      <c r="G14" s="77"/>
      <c r="H14" s="77"/>
      <c r="I14" s="77"/>
      <c r="J14" s="77"/>
      <c r="K14" s="77"/>
    </row>
    <row r="15" spans="1:11" ht="12.75">
      <c r="A15" s="78" t="s">
        <v>70</v>
      </c>
      <c r="B15" s="56"/>
      <c r="C15" s="56"/>
      <c r="D15" s="76"/>
      <c r="E15" s="76"/>
      <c r="F15" s="77"/>
      <c r="G15" s="77"/>
      <c r="H15" s="77"/>
      <c r="I15" s="77"/>
      <c r="J15" s="77"/>
      <c r="K15" s="77"/>
    </row>
    <row r="16" spans="1:11" s="64" customFormat="1" ht="10.5">
      <c r="A16" s="10" t="s">
        <v>2</v>
      </c>
      <c r="B16" s="59"/>
      <c r="C16" s="59"/>
      <c r="D16" s="60" t="s">
        <v>58</v>
      </c>
      <c r="E16" s="79"/>
      <c r="F16" s="80" t="s">
        <v>71</v>
      </c>
      <c r="G16" s="80" t="s">
        <v>71</v>
      </c>
      <c r="H16" s="12" t="s">
        <v>72</v>
      </c>
      <c r="I16" s="12" t="s">
        <v>73</v>
      </c>
      <c r="J16" s="75"/>
      <c r="K16" s="75"/>
    </row>
    <row r="17" spans="4:11" s="64" customFormat="1" ht="10.5">
      <c r="D17" s="5" t="s">
        <v>9</v>
      </c>
      <c r="E17" s="5" t="s">
        <v>10</v>
      </c>
      <c r="F17" s="71" t="s">
        <v>74</v>
      </c>
      <c r="G17" s="71" t="s">
        <v>74</v>
      </c>
      <c r="H17" s="70" t="s">
        <v>75</v>
      </c>
      <c r="I17" s="70" t="s">
        <v>63</v>
      </c>
      <c r="J17" s="75"/>
      <c r="K17" s="75"/>
    </row>
    <row r="18" spans="4:11" s="64" customFormat="1" ht="10.5">
      <c r="D18" s="69"/>
      <c r="E18" s="69"/>
      <c r="F18" s="71" t="s">
        <v>76</v>
      </c>
      <c r="G18" s="70" t="s">
        <v>77</v>
      </c>
      <c r="H18" s="71" t="s">
        <v>78</v>
      </c>
      <c r="I18" s="70" t="s">
        <v>79</v>
      </c>
      <c r="J18" s="75"/>
      <c r="K18" s="75"/>
    </row>
    <row r="19" spans="1:11" s="64" customFormat="1" ht="10.5">
      <c r="A19" s="66"/>
      <c r="B19" s="66"/>
      <c r="C19" s="66"/>
      <c r="D19" s="81"/>
      <c r="E19" s="81"/>
      <c r="F19" s="82" t="s">
        <v>80</v>
      </c>
      <c r="G19" s="82" t="s">
        <v>81</v>
      </c>
      <c r="H19" s="82" t="s">
        <v>82</v>
      </c>
      <c r="I19" s="82" t="s">
        <v>82</v>
      </c>
      <c r="J19" s="75"/>
      <c r="K19" s="75"/>
    </row>
    <row r="20" spans="1:11" ht="12.75">
      <c r="A20" s="64"/>
      <c r="B20" s="64"/>
      <c r="C20" s="56"/>
      <c r="D20" s="76"/>
      <c r="E20" s="76"/>
      <c r="F20" s="77"/>
      <c r="G20" s="77"/>
      <c r="H20" s="77"/>
      <c r="I20" s="77"/>
      <c r="J20" s="77"/>
      <c r="K20" s="77"/>
    </row>
    <row r="21" spans="1:11" s="64" customFormat="1" ht="12.75">
      <c r="A21" s="83" t="s">
        <v>83</v>
      </c>
      <c r="D21" s="73">
        <v>1.7</v>
      </c>
      <c r="E21" s="73">
        <v>0.02</v>
      </c>
      <c r="F21" s="75">
        <v>51675621</v>
      </c>
      <c r="G21" s="75">
        <v>34905305</v>
      </c>
      <c r="H21" s="75">
        <v>87024141</v>
      </c>
      <c r="I21" s="75">
        <f>+H21-G21-F21</f>
        <v>443215</v>
      </c>
      <c r="J21" s="75"/>
      <c r="K21" s="75"/>
    </row>
    <row r="22" spans="1:11" ht="12.75">
      <c r="A22" s="56"/>
      <c r="B22" s="56"/>
      <c r="C22" s="56"/>
      <c r="D22" s="76"/>
      <c r="E22" s="76"/>
      <c r="F22" s="77"/>
      <c r="G22" s="77"/>
      <c r="H22" s="77"/>
      <c r="I22" s="77"/>
      <c r="J22" s="77"/>
      <c r="K22" s="77"/>
    </row>
    <row r="23" spans="1:11" ht="12.75">
      <c r="A23" s="56"/>
      <c r="B23" s="56"/>
      <c r="C23" s="56"/>
      <c r="D23" s="76"/>
      <c r="E23" s="76"/>
      <c r="F23" s="77"/>
      <c r="G23" s="77"/>
      <c r="H23" s="77"/>
      <c r="I23" s="77"/>
      <c r="J23" s="77"/>
      <c r="K23" s="77"/>
    </row>
    <row r="24" spans="1:11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42" ht="12.75">
      <c r="A42">
        <f>22701586+55852</f>
        <v>22757438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2006-04-11T22:10:47Z</cp:lastPrinted>
  <dcterms:created xsi:type="dcterms:W3CDTF">1998-12-29T20:15:03Z</dcterms:created>
  <dcterms:modified xsi:type="dcterms:W3CDTF">2006-04-12T20:07:34Z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