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0" windowWidth="9570" windowHeight="5475" activeTab="1"/>
  </bookViews>
  <sheets>
    <sheet name="CUMPV" sheetId="1" r:id="rId1"/>
    <sheet name="MUTUAL" sheetId="2" r:id="rId2"/>
  </sheets>
  <definedNames>
    <definedName name="_xlnm.Print_Area" localSheetId="0">'CUMPV'!$A$1:$M$42</definedName>
    <definedName name="_xlnm.Print_Area" localSheetId="1">'MUTUAL'!$A$1:$K$21</definedName>
  </definedNames>
  <calcPr fullCalcOnLoad="1"/>
</workbook>
</file>

<file path=xl/sharedStrings.xml><?xml version="1.0" encoding="utf-8"?>
<sst xmlns="http://schemas.openxmlformats.org/spreadsheetml/2006/main" count="109" uniqueCount="82">
  <si>
    <t>CUMPLIMIENTO DE NORMAS</t>
  </si>
  <si>
    <t>SEGUROS DE VIDA</t>
  </si>
  <si>
    <t>SOCIEDAD</t>
  </si>
  <si>
    <t>PATRIMONIO</t>
  </si>
  <si>
    <t>OBLIGACION DE</t>
  </si>
  <si>
    <t>INVER.REPRES.</t>
  </si>
  <si>
    <t>SUPERAV.(DEF) DE</t>
  </si>
  <si>
    <t>INVERSIONES</t>
  </si>
  <si>
    <t>DE RIESGO</t>
  </si>
  <si>
    <t>TOTAL</t>
  </si>
  <si>
    <t>FINANC.</t>
  </si>
  <si>
    <t>INVERTIR LAS RES.</t>
  </si>
  <si>
    <t>DE RES.TEC Y PAT.</t>
  </si>
  <si>
    <t>INV.REPRES.DE RES.</t>
  </si>
  <si>
    <t>REPRESENTATIVAS</t>
  </si>
  <si>
    <t>TEC. Y PAT.RIESGO</t>
  </si>
  <si>
    <t xml:space="preserve">TOTAL ASEGURADORAS    </t>
  </si>
  <si>
    <t>ENDEUDAMIENTO</t>
  </si>
  <si>
    <t>Caja Reaseguradora</t>
  </si>
  <si>
    <t>Chilena Consolidada</t>
  </si>
  <si>
    <t>Consorcio Nacional</t>
  </si>
  <si>
    <t>Cruz del Sur</t>
  </si>
  <si>
    <t>Interamericana</t>
  </si>
  <si>
    <t>Renta Nacional</t>
  </si>
  <si>
    <t xml:space="preserve">Vida Corp  </t>
  </si>
  <si>
    <t>PAT. RIESGO</t>
  </si>
  <si>
    <t>RES. PREVIS.</t>
  </si>
  <si>
    <t>RES. NO PREVIS.</t>
  </si>
  <si>
    <t>RES. ADIC.</t>
  </si>
  <si>
    <t>INVERSIONES NO</t>
  </si>
  <si>
    <t>BBVA</t>
  </si>
  <si>
    <t xml:space="preserve">Cigna   </t>
  </si>
  <si>
    <t xml:space="preserve">Mapfre  </t>
  </si>
  <si>
    <t xml:space="preserve">Huelén </t>
  </si>
  <si>
    <t xml:space="preserve">Construcción   </t>
  </si>
  <si>
    <t>Banchile</t>
  </si>
  <si>
    <t>TOTAL REASEGURADORAS</t>
  </si>
  <si>
    <t xml:space="preserve">  </t>
  </si>
  <si>
    <t>Altavida</t>
  </si>
  <si>
    <t>CN Life</t>
  </si>
  <si>
    <t xml:space="preserve">Euroamérica </t>
  </si>
  <si>
    <t>Bci</t>
  </si>
  <si>
    <t xml:space="preserve">ING </t>
  </si>
  <si>
    <t>Bice</t>
  </si>
  <si>
    <t>Interrrentas</t>
  </si>
  <si>
    <t>Principal</t>
  </si>
  <si>
    <t xml:space="preserve">Cardif   </t>
  </si>
  <si>
    <t xml:space="preserve"> </t>
  </si>
  <si>
    <t>Penta</t>
  </si>
  <si>
    <t xml:space="preserve">ABN Amro </t>
  </si>
  <si>
    <t>(al 31 de diciembre de 2004, montos expresados en miles de pesos)</t>
  </si>
  <si>
    <t>Metlife</t>
  </si>
  <si>
    <t>Ohio</t>
  </si>
  <si>
    <t>Security</t>
  </si>
  <si>
    <t>MUTUALIDADES</t>
  </si>
  <si>
    <t>VENTAS INSTITUCIONALES EXCLUSIVAMENTE</t>
  </si>
  <si>
    <t xml:space="preserve">             ENDEUDAMIENTO</t>
  </si>
  <si>
    <t>OBLIGACION</t>
  </si>
  <si>
    <t>SUPERAVIT (DEF)</t>
  </si>
  <si>
    <t>DE INV.LAS</t>
  </si>
  <si>
    <t>REPRESENT.</t>
  </si>
  <si>
    <t>DE INV.REPRES.</t>
  </si>
  <si>
    <t>DE INV.EL</t>
  </si>
  <si>
    <t>R.TECNICAS</t>
  </si>
  <si>
    <t>DE RES.TEC</t>
  </si>
  <si>
    <t>DE PATRIMONIO</t>
  </si>
  <si>
    <t>Mutualidad de Carabineros</t>
  </si>
  <si>
    <t>Mutualidad del Ejército y Aviación</t>
  </si>
  <si>
    <t>VENTAS INSTITUCIONALES Y NO INSTITUCIONALES SIMULTANEAMENTE</t>
  </si>
  <si>
    <t xml:space="preserve">OBLIGACION DE </t>
  </si>
  <si>
    <t xml:space="preserve">INVERSIONES </t>
  </si>
  <si>
    <t>SUPERAVIT (DEFICIT)</t>
  </si>
  <si>
    <t xml:space="preserve"> INV.LAS R.TEC.</t>
  </si>
  <si>
    <t>TOTALES</t>
  </si>
  <si>
    <t>Y  PAT.RIESGO</t>
  </si>
  <si>
    <t>Y  PATRIMONIO</t>
  </si>
  <si>
    <t>REPRES.DE R.TECN.</t>
  </si>
  <si>
    <t>DE RES.TECNICAS</t>
  </si>
  <si>
    <t>VENTAS NO INST.</t>
  </si>
  <si>
    <t>VENTAS INST.</t>
  </si>
  <si>
    <t>Y PATRIMONIO</t>
  </si>
  <si>
    <t>Mutual de Seguros</t>
  </si>
</sst>
</file>

<file path=xl/styles.xml><?xml version="1.0" encoding="utf-8"?>
<styleSheet xmlns="http://schemas.openxmlformats.org/spreadsheetml/2006/main">
  <numFmts count="6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Ch$&quot;#,##0_);\(&quot;Ch$&quot;#,##0\)"/>
    <numFmt numFmtId="187" formatCode="&quot;Ch$&quot;#,##0_);[Red]\(&quot;Ch$&quot;#,##0\)"/>
    <numFmt numFmtId="188" formatCode="&quot;Ch$&quot;#,##0.00_);\(&quot;Ch$&quot;#,##0.00\)"/>
    <numFmt numFmtId="189" formatCode="&quot;Ch$&quot;#,##0.00_);[Red]\(&quot;Ch$&quot;#,##0.00\)"/>
    <numFmt numFmtId="190" formatCode="_(&quot;Ch$&quot;* #,##0_);_(&quot;Ch$&quot;* \(#,##0\);_(&quot;Ch$&quot;* &quot;-&quot;_);_(@_)"/>
    <numFmt numFmtId="191" formatCode="_(&quot;Ch$&quot;* #,##0.00_);_(&quot;Ch$&quot;* \(#,##0.00\);_(&quot;Ch$&quot;* &quot;-&quot;??_);_(@_)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#,##0\ &quot;$&quot;_);\(#,##0\ &quot;$&quot;\)"/>
    <numFmt numFmtId="201" formatCode="#,##0\ &quot;$&quot;_);[Red]\(#,##0\ &quot;$&quot;\)"/>
    <numFmt numFmtId="202" formatCode="#,##0.00\ &quot;$&quot;_);\(#,##0.00\ &quot;$&quot;\)"/>
    <numFmt numFmtId="203" formatCode="#,##0.00\ &quot;$&quot;_);[Red]\(#,##0.00\ &quot;$&quot;\)"/>
    <numFmt numFmtId="204" formatCode="_ * #,##0_)\ &quot;$&quot;_ ;_ * \(#,##0\)\ &quot;$&quot;_ ;_ * &quot;-&quot;_)\ &quot;$&quot;_ ;_ @_ "/>
    <numFmt numFmtId="205" formatCode="_ * #,##0_)\ _$_ ;_ * \(#,##0\)\ _$_ ;_ * &quot;-&quot;_)\ _$_ ;_ @_ "/>
    <numFmt numFmtId="206" formatCode="_ * #,##0.00_)\ &quot;$&quot;_ ;_ * \(#,##0.00\)\ &quot;$&quot;_ ;_ * &quot;-&quot;??_)\ &quot;$&quot;_ ;_ @_ "/>
    <numFmt numFmtId="207" formatCode="_ * #,##0.00_)\ _$_ ;_ * \(#,##0.00\)\ _$_ ;_ * &quot;-&quot;??_)\ _$_ ;_ @_ "/>
    <numFmt numFmtId="208" formatCode="#,##0&quot; Pts&quot;;\-#,##0&quot; Pts&quot;"/>
    <numFmt numFmtId="209" formatCode="#,##0&quot; Pts&quot;;[Red]\-#,##0&quot; Pts&quot;"/>
    <numFmt numFmtId="210" formatCode="#,##0.00&quot; Pts&quot;;\-#,##0.00&quot; Pts&quot;"/>
    <numFmt numFmtId="211" formatCode="#,##0.00&quot; Pts&quot;;[Red]\-#,##0.00&quot; Pts&quot;"/>
    <numFmt numFmtId="212" formatCode="#,##0.000"/>
    <numFmt numFmtId="213" formatCode="0.00000000"/>
    <numFmt numFmtId="214" formatCode="0.0000000"/>
    <numFmt numFmtId="215" formatCode="0.000000"/>
    <numFmt numFmtId="216" formatCode="0.00000"/>
    <numFmt numFmtId="217" formatCode="0.0000"/>
    <numFmt numFmtId="218" formatCode="#,##0.0"/>
    <numFmt numFmtId="219" formatCode="0.000"/>
    <numFmt numFmtId="220" formatCode="0.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9"/>
      <name val="MS Sans Serif"/>
      <family val="2"/>
    </font>
    <font>
      <sz val="10"/>
      <color indexed="10"/>
      <name val="MS Sans Serif"/>
      <family val="2"/>
    </font>
    <font>
      <u val="single"/>
      <sz val="8"/>
      <color indexed="12"/>
      <name val="MS Sans Serif"/>
      <family val="0"/>
    </font>
    <font>
      <u val="single"/>
      <sz val="8"/>
      <color indexed="36"/>
      <name val="MS Sans Serif"/>
      <family val="0"/>
    </font>
    <font>
      <b/>
      <sz val="9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 quotePrefix="1">
      <alignment horizontal="right"/>
    </xf>
    <xf numFmtId="3" fontId="0" fillId="0" borderId="0" xfId="0" applyNumberFormat="1" applyBorder="1" applyAlignment="1">
      <alignment horizontal="right"/>
    </xf>
    <xf numFmtId="3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 quotePrefix="1">
      <alignment horizontal="right"/>
    </xf>
    <xf numFmtId="3" fontId="0" fillId="0" borderId="2" xfId="0" applyNumberFormat="1" applyBorder="1" applyAlignment="1">
      <alignment horizontal="right"/>
    </xf>
    <xf numFmtId="3" fontId="4" fillId="0" borderId="0" xfId="0" applyNumberFormat="1" applyFont="1" applyBorder="1" applyAlignment="1" quotePrefix="1">
      <alignment horizontal="center"/>
    </xf>
    <xf numFmtId="3" fontId="4" fillId="0" borderId="1" xfId="0" applyNumberFormat="1" applyFont="1" applyBorder="1" applyAlignment="1">
      <alignment horizontal="left"/>
    </xf>
    <xf numFmtId="3" fontId="0" fillId="0" borderId="0" xfId="0" applyNumberFormat="1" applyFont="1" applyAlignment="1" quotePrefix="1">
      <alignment horizontal="left"/>
    </xf>
    <xf numFmtId="3" fontId="4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 quotePrefix="1">
      <alignment horizontal="left"/>
    </xf>
    <xf numFmtId="3" fontId="4" fillId="0" borderId="2" xfId="0" applyNumberFormat="1" applyFont="1" applyBorder="1" applyAlignment="1" quotePrefix="1">
      <alignment horizontal="right"/>
    </xf>
    <xf numFmtId="3" fontId="4" fillId="0" borderId="2" xfId="0" applyNumberFormat="1" applyFont="1" applyBorder="1" applyAlignment="1">
      <alignment horizontal="right"/>
    </xf>
    <xf numFmtId="3" fontId="0" fillId="0" borderId="0" xfId="0" applyNumberForma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4" fillId="0" borderId="3" xfId="0" applyNumberFormat="1" applyFont="1" applyFill="1" applyBorder="1" applyAlignment="1" quotePrefix="1">
      <alignment horizontal="left"/>
    </xf>
    <xf numFmtId="3" fontId="0" fillId="0" borderId="3" xfId="0" applyNumberFormat="1" applyFill="1" applyBorder="1" applyAlignment="1">
      <alignment horizontal="right"/>
    </xf>
    <xf numFmtId="4" fontId="0" fillId="0" borderId="3" xfId="0" applyNumberFormat="1" applyFill="1" applyBorder="1" applyAlignment="1">
      <alignment horizontal="right"/>
    </xf>
    <xf numFmtId="3" fontId="4" fillId="0" borderId="0" xfId="0" applyNumberFormat="1" applyFont="1" applyFill="1" applyAlignment="1">
      <alignment horizontal="left"/>
    </xf>
    <xf numFmtId="3" fontId="4" fillId="0" borderId="3" xfId="0" applyNumberFormat="1" applyFont="1" applyFill="1" applyBorder="1" applyAlignment="1">
      <alignment horizontal="left"/>
    </xf>
    <xf numFmtId="3" fontId="0" fillId="0" borderId="2" xfId="0" applyNumberFormat="1" applyFont="1" applyFill="1" applyBorder="1" applyAlignment="1">
      <alignment horizontal="left"/>
    </xf>
    <xf numFmtId="3" fontId="0" fillId="0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left" vertical="top"/>
    </xf>
    <xf numFmtId="3" fontId="0" fillId="0" borderId="0" xfId="0" applyNumberFormat="1" applyFill="1" applyAlignment="1" quotePrefix="1">
      <alignment horizontal="lef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 quotePrefix="1">
      <alignment horizontal="left"/>
    </xf>
    <xf numFmtId="3" fontId="5" fillId="0" borderId="0" xfId="0" applyNumberFormat="1" applyFont="1" applyAlignment="1">
      <alignment horizontal="left" vertical="top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 vertical="center"/>
    </xf>
    <xf numFmtId="3" fontId="0" fillId="0" borderId="0" xfId="0" applyNumberFormat="1" applyFill="1" applyAlignment="1">
      <alignment horizontal="left"/>
    </xf>
    <xf numFmtId="3" fontId="0" fillId="0" borderId="0" xfId="0" applyNumberFormat="1" applyFont="1" applyFill="1" applyAlignment="1" quotePrefix="1">
      <alignment horizontal="left"/>
    </xf>
    <xf numFmtId="0" fontId="0" fillId="0" borderId="0" xfId="0" applyFill="1" applyAlignment="1">
      <alignment horizontal="left"/>
    </xf>
    <xf numFmtId="3" fontId="4" fillId="0" borderId="3" xfId="0" applyNumberFormat="1" applyFont="1" applyBorder="1" applyAlignment="1" quotePrefix="1">
      <alignment horizontal="center"/>
    </xf>
    <xf numFmtId="3" fontId="5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/>
    </xf>
    <xf numFmtId="3" fontId="5" fillId="0" borderId="0" xfId="0" applyNumberFormat="1" applyFont="1" applyFill="1" applyAlignment="1">
      <alignment horizontal="justify" vertical="top" wrapText="1"/>
    </xf>
    <xf numFmtId="3" fontId="9" fillId="0" borderId="0" xfId="0" applyNumberFormat="1" applyFont="1" applyFill="1" applyAlignment="1">
      <alignment horizontal="justify" vertical="top" wrapText="1"/>
    </xf>
    <xf numFmtId="0" fontId="0" fillId="0" borderId="0" xfId="0" applyAlignment="1" quotePrefix="1">
      <alignment horizontal="left"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17" fontId="0" fillId="0" borderId="0" xfId="0" applyNumberFormat="1" applyFont="1" applyAlignment="1" quotePrefix="1">
      <alignment horizontal="left"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3" fontId="4" fillId="0" borderId="3" xfId="0" applyNumberFormat="1" applyFont="1" applyBorder="1" applyAlignment="1" quotePrefix="1">
      <alignment horizontal="left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 quotePrefix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 quotePrefix="1">
      <alignment horizontal="right"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2" fontId="4" fillId="0" borderId="0" xfId="0" applyNumberFormat="1" applyFont="1" applyAlignment="1">
      <alignment horizontal="right"/>
    </xf>
    <xf numFmtId="219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0" fillId="0" borderId="0" xfId="0" applyFont="1" applyAlignment="1" quotePrefix="1">
      <alignment horizontal="left"/>
    </xf>
    <xf numFmtId="219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 quotePrefix="1">
      <alignment horizontal="left"/>
    </xf>
    <xf numFmtId="2" fontId="4" fillId="0" borderId="3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2" fontId="4" fillId="0" borderId="2" xfId="0" applyNumberFormat="1" applyFont="1" applyBorder="1" applyAlignment="1">
      <alignment/>
    </xf>
    <xf numFmtId="0" fontId="12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M65"/>
  <sheetViews>
    <sheetView zoomScale="80" zoomScaleNormal="80" workbookViewId="0" topLeftCell="A1">
      <selection activeCell="A1" sqref="A1"/>
    </sheetView>
  </sheetViews>
  <sheetFormatPr defaultColWidth="11.421875" defaultRowHeight="12.75"/>
  <cols>
    <col min="1" max="1" width="2.57421875" style="1" customWidth="1"/>
    <col min="2" max="2" width="22.421875" style="1" customWidth="1"/>
    <col min="3" max="3" width="12.140625" style="1" bestFit="1" customWidth="1"/>
    <col min="4" max="4" width="8.140625" style="1" customWidth="1"/>
    <col min="5" max="5" width="8.57421875" style="1" customWidth="1"/>
    <col min="6" max="6" width="17.00390625" style="1" bestFit="1" customWidth="1"/>
    <col min="7" max="7" width="16.7109375" style="1" bestFit="1" customWidth="1"/>
    <col min="8" max="8" width="18.00390625" style="1" bestFit="1" customWidth="1"/>
    <col min="9" max="9" width="17.7109375" style="1" bestFit="1" customWidth="1"/>
    <col min="10" max="10" width="13.57421875" style="1" customWidth="1"/>
    <col min="11" max="11" width="18.57421875" style="1" bestFit="1" customWidth="1"/>
    <col min="12" max="13" width="12.28125" style="1" bestFit="1" customWidth="1"/>
    <col min="14" max="16384" width="11.421875" style="1" customWidth="1"/>
  </cols>
  <sheetData>
    <row r="1" spans="1:5" ht="12.75">
      <c r="A1" s="36" t="s">
        <v>0</v>
      </c>
      <c r="B1" s="36"/>
      <c r="C1" s="37"/>
      <c r="D1" s="37"/>
      <c r="E1" s="13"/>
    </row>
    <row r="2" spans="1:5" ht="12.75">
      <c r="A2" s="36"/>
      <c r="B2" s="36"/>
      <c r="C2" s="37"/>
      <c r="D2" s="37"/>
      <c r="E2" s="13"/>
    </row>
    <row r="3" spans="1:4" ht="12.75">
      <c r="A3" s="38" t="s">
        <v>1</v>
      </c>
      <c r="B3" s="38"/>
      <c r="C3" s="37"/>
      <c r="D3" s="37"/>
    </row>
    <row r="4" spans="1:13" ht="12.75">
      <c r="A4" s="11" t="s">
        <v>50</v>
      </c>
      <c r="B4" s="38"/>
      <c r="C4" s="37"/>
      <c r="D4" s="37"/>
      <c r="M4" s="8"/>
    </row>
    <row r="5" spans="1:13" ht="12.75">
      <c r="A5" s="10" t="s">
        <v>2</v>
      </c>
      <c r="B5" s="10"/>
      <c r="C5" s="6" t="s">
        <v>3</v>
      </c>
      <c r="D5" s="45" t="s">
        <v>17</v>
      </c>
      <c r="E5" s="45"/>
      <c r="F5" s="6" t="s">
        <v>4</v>
      </c>
      <c r="G5" s="7" t="s">
        <v>5</v>
      </c>
      <c r="H5" s="7" t="s">
        <v>6</v>
      </c>
      <c r="I5" s="6" t="s">
        <v>29</v>
      </c>
      <c r="J5" s="6" t="s">
        <v>7</v>
      </c>
      <c r="K5" s="6" t="s">
        <v>7</v>
      </c>
      <c r="L5" s="6" t="s">
        <v>7</v>
      </c>
      <c r="M5" s="6" t="s">
        <v>7</v>
      </c>
    </row>
    <row r="6" spans="1:13" ht="12.75">
      <c r="A6" s="3"/>
      <c r="B6" s="3"/>
      <c r="C6" s="4" t="s">
        <v>8</v>
      </c>
      <c r="D6" s="5" t="s">
        <v>9</v>
      </c>
      <c r="E6" s="5" t="s">
        <v>10</v>
      </c>
      <c r="F6" s="4" t="s">
        <v>11</v>
      </c>
      <c r="G6" s="2" t="s">
        <v>12</v>
      </c>
      <c r="H6" s="5" t="s">
        <v>13</v>
      </c>
      <c r="I6" s="5" t="s">
        <v>14</v>
      </c>
      <c r="J6" s="5" t="s">
        <v>26</v>
      </c>
      <c r="K6" s="5" t="s">
        <v>27</v>
      </c>
      <c r="L6" s="41" t="s">
        <v>28</v>
      </c>
      <c r="M6" s="12" t="s">
        <v>25</v>
      </c>
    </row>
    <row r="7" spans="1:13" ht="12.75">
      <c r="A7" s="8"/>
      <c r="B7" s="8"/>
      <c r="C7" s="8"/>
      <c r="D7" s="8"/>
      <c r="E7" s="8"/>
      <c r="F7" s="19" t="s">
        <v>15</v>
      </c>
      <c r="G7" s="19" t="s">
        <v>8</v>
      </c>
      <c r="H7" s="19" t="s">
        <v>15</v>
      </c>
      <c r="I7" s="20"/>
      <c r="J7" s="8"/>
      <c r="K7" s="8"/>
      <c r="L7" s="8"/>
      <c r="M7" s="8"/>
    </row>
    <row r="8" spans="1:13" ht="12.75">
      <c r="A8" s="3"/>
      <c r="B8" s="3"/>
      <c r="C8" s="3"/>
      <c r="D8" s="3"/>
      <c r="E8" s="3"/>
      <c r="F8" s="4"/>
      <c r="G8" s="9"/>
      <c r="H8" s="4"/>
      <c r="I8" s="5"/>
      <c r="J8" s="3"/>
      <c r="K8" s="3"/>
      <c r="L8" s="3"/>
      <c r="M8" s="3"/>
    </row>
    <row r="9" spans="1:13" s="15" customFormat="1" ht="12.75">
      <c r="A9" s="42" t="s">
        <v>49</v>
      </c>
      <c r="B9" s="42"/>
      <c r="C9" s="15">
        <v>1664232</v>
      </c>
      <c r="D9" s="17">
        <v>0.85</v>
      </c>
      <c r="E9" s="17">
        <v>0.44</v>
      </c>
      <c r="F9" s="15">
        <v>3459824</v>
      </c>
      <c r="G9" s="15">
        <f>+J9+K9+L9+M9</f>
        <v>4026061</v>
      </c>
      <c r="H9" s="14">
        <f aca="true" t="shared" si="0" ref="H9:H34">G9-F9</f>
        <v>566237</v>
      </c>
      <c r="I9" s="15">
        <v>383399</v>
      </c>
      <c r="J9" s="15">
        <v>0</v>
      </c>
      <c r="K9" s="15">
        <f>213347+988741+625938</f>
        <v>1828026</v>
      </c>
      <c r="L9" s="15">
        <v>0</v>
      </c>
      <c r="M9" s="15">
        <v>2198035</v>
      </c>
    </row>
    <row r="10" spans="1:13" s="14" customFormat="1" ht="12.75">
      <c r="A10" s="16" t="s">
        <v>38</v>
      </c>
      <c r="B10" s="18"/>
      <c r="C10" s="15">
        <v>6633025</v>
      </c>
      <c r="D10" s="17">
        <v>0.91</v>
      </c>
      <c r="E10" s="17">
        <v>0.23</v>
      </c>
      <c r="F10" s="15">
        <v>26206847</v>
      </c>
      <c r="G10" s="14">
        <f aca="true" t="shared" si="1" ref="G10:G34">+J10+K10+L10+M10</f>
        <v>33815203</v>
      </c>
      <c r="H10" s="14">
        <f t="shared" si="0"/>
        <v>7608356</v>
      </c>
      <c r="I10" s="15">
        <v>12573858</v>
      </c>
      <c r="J10" s="15">
        <v>0</v>
      </c>
      <c r="K10" s="15">
        <f>1794317+17223355+602180</f>
        <v>19619852</v>
      </c>
      <c r="L10" s="15">
        <v>24284</v>
      </c>
      <c r="M10" s="15">
        <v>14171067</v>
      </c>
    </row>
    <row r="11" spans="1:13" s="14" customFormat="1" ht="12.75">
      <c r="A11" s="16" t="s">
        <v>35</v>
      </c>
      <c r="B11" s="16"/>
      <c r="C11" s="15">
        <v>3772692</v>
      </c>
      <c r="D11" s="17">
        <v>3.15</v>
      </c>
      <c r="E11" s="17">
        <v>0.93</v>
      </c>
      <c r="F11" s="15">
        <v>13053033</v>
      </c>
      <c r="G11" s="14">
        <f t="shared" si="1"/>
        <v>14472502</v>
      </c>
      <c r="H11" s="14">
        <f t="shared" si="0"/>
        <v>1419469</v>
      </c>
      <c r="I11" s="15">
        <v>914087</v>
      </c>
      <c r="J11" s="15">
        <v>0</v>
      </c>
      <c r="K11" s="15">
        <f>1424236+7524951+8217+325622</f>
        <v>9283026</v>
      </c>
      <c r="L11" s="15">
        <v>0</v>
      </c>
      <c r="M11" s="15">
        <v>5189476</v>
      </c>
    </row>
    <row r="12" spans="1:13" s="15" customFormat="1" ht="12.75">
      <c r="A12" s="16" t="s">
        <v>30</v>
      </c>
      <c r="B12" s="16"/>
      <c r="C12" s="15">
        <v>3867600</v>
      </c>
      <c r="D12" s="17">
        <v>4.33</v>
      </c>
      <c r="E12" s="17">
        <v>0.08</v>
      </c>
      <c r="F12" s="15">
        <v>52624444</v>
      </c>
      <c r="G12" s="15">
        <f>+J12+K12+L12+M12</f>
        <v>59777252</v>
      </c>
      <c r="H12" s="14">
        <f>G12-F12</f>
        <v>7152808</v>
      </c>
      <c r="I12" s="15">
        <v>697192</v>
      </c>
      <c r="J12" s="15">
        <v>46034815</v>
      </c>
      <c r="K12" s="15">
        <f>183766+2538263+0</f>
        <v>2722029</v>
      </c>
      <c r="L12" s="15">
        <v>0</v>
      </c>
      <c r="M12" s="15">
        <v>11020408</v>
      </c>
    </row>
    <row r="13" spans="1:13" s="15" customFormat="1" ht="12.75">
      <c r="A13" s="16" t="s">
        <v>41</v>
      </c>
      <c r="B13" s="16"/>
      <c r="C13" s="15">
        <v>5275169</v>
      </c>
      <c r="D13" s="17">
        <v>4.11</v>
      </c>
      <c r="E13" s="17">
        <v>0.7</v>
      </c>
      <c r="F13" s="15">
        <v>36829341</v>
      </c>
      <c r="G13" s="14">
        <f>+J13+K13+L13+M13</f>
        <v>41120646</v>
      </c>
      <c r="H13" s="14">
        <f>G13-F13</f>
        <v>4291305</v>
      </c>
      <c r="I13" s="15">
        <v>240100</v>
      </c>
      <c r="J13" s="15">
        <v>17374934</v>
      </c>
      <c r="K13" s="15">
        <f>1779491+5806455+382404+6352464</f>
        <v>14320814</v>
      </c>
      <c r="L13" s="15">
        <v>0</v>
      </c>
      <c r="M13" s="15">
        <v>9424898</v>
      </c>
    </row>
    <row r="14" spans="1:13" s="15" customFormat="1" ht="12.75">
      <c r="A14" s="43" t="s">
        <v>43</v>
      </c>
      <c r="B14" s="44"/>
      <c r="C14" s="15">
        <v>28547875</v>
      </c>
      <c r="D14" s="17">
        <v>12.39</v>
      </c>
      <c r="E14" s="17">
        <v>0.87</v>
      </c>
      <c r="F14" s="15">
        <v>405033185</v>
      </c>
      <c r="G14" s="15">
        <f>+J14+K14+L14+M14</f>
        <v>407589899</v>
      </c>
      <c r="H14" s="14">
        <f t="shared" si="0"/>
        <v>2556714</v>
      </c>
      <c r="I14" s="15">
        <v>17478197</v>
      </c>
      <c r="J14" s="15">
        <v>374282001</v>
      </c>
      <c r="K14" s="15">
        <f>689052+4070971</f>
        <v>4760023</v>
      </c>
      <c r="L14" s="15">
        <v>0</v>
      </c>
      <c r="M14" s="15">
        <v>28547875</v>
      </c>
    </row>
    <row r="15" spans="1:13" s="14" customFormat="1" ht="12.75">
      <c r="A15" s="16" t="s">
        <v>46</v>
      </c>
      <c r="B15" s="18"/>
      <c r="C15" s="15">
        <v>3832296</v>
      </c>
      <c r="D15" s="17">
        <v>2.32</v>
      </c>
      <c r="E15" s="17">
        <v>0.57</v>
      </c>
      <c r="F15" s="15">
        <v>15647056</v>
      </c>
      <c r="G15" s="14">
        <f>+J15+K15+L15+M15</f>
        <v>17783594</v>
      </c>
      <c r="H15" s="14">
        <f t="shared" si="0"/>
        <v>2136538</v>
      </c>
      <c r="I15" s="15">
        <v>219255</v>
      </c>
      <c r="J15" s="15">
        <v>0</v>
      </c>
      <c r="K15" s="15">
        <f>1189302+10625458+0</f>
        <v>11814760</v>
      </c>
      <c r="L15" s="15">
        <v>0</v>
      </c>
      <c r="M15" s="15">
        <v>5968834</v>
      </c>
    </row>
    <row r="16" spans="1:13" s="15" customFormat="1" ht="12.75">
      <c r="A16" s="16" t="s">
        <v>19</v>
      </c>
      <c r="B16" s="18"/>
      <c r="C16" s="15">
        <v>38309923</v>
      </c>
      <c r="D16" s="17">
        <v>7.71</v>
      </c>
      <c r="E16" s="17">
        <v>0.13</v>
      </c>
      <c r="F16" s="15">
        <v>577852660</v>
      </c>
      <c r="G16" s="15">
        <f t="shared" si="1"/>
        <v>605489057</v>
      </c>
      <c r="H16" s="14">
        <f t="shared" si="0"/>
        <v>27636397</v>
      </c>
      <c r="I16" s="15">
        <v>970440</v>
      </c>
      <c r="J16" s="15">
        <v>474714776</v>
      </c>
      <c r="K16" s="15">
        <f>9802032+30184660+3947854+22909830</f>
        <v>66844376</v>
      </c>
      <c r="L16" s="15">
        <v>192704</v>
      </c>
      <c r="M16" s="15">
        <v>63737201</v>
      </c>
    </row>
    <row r="17" spans="1:13" s="23" customFormat="1" ht="12.75">
      <c r="A17" s="16" t="s">
        <v>31</v>
      </c>
      <c r="B17" s="16"/>
      <c r="C17" s="14">
        <v>7700981</v>
      </c>
      <c r="D17" s="22">
        <v>6.16</v>
      </c>
      <c r="E17" s="22">
        <v>0.15</v>
      </c>
      <c r="F17" s="14">
        <v>98572866</v>
      </c>
      <c r="G17" s="14">
        <f t="shared" si="1"/>
        <v>106139588</v>
      </c>
      <c r="H17" s="14">
        <f t="shared" si="0"/>
        <v>7566722</v>
      </c>
      <c r="I17" s="14">
        <v>179713</v>
      </c>
      <c r="J17" s="14">
        <v>94517892</v>
      </c>
      <c r="K17" s="14">
        <f>1599142+1312071+1009502</f>
        <v>3920715</v>
      </c>
      <c r="L17" s="14">
        <v>0</v>
      </c>
      <c r="M17" s="14">
        <v>7700981</v>
      </c>
    </row>
    <row r="18" spans="1:13" s="15" customFormat="1" ht="12.75">
      <c r="A18" s="16" t="s">
        <v>39</v>
      </c>
      <c r="B18" s="18"/>
      <c r="C18" s="15">
        <v>19277824</v>
      </c>
      <c r="D18" s="17">
        <v>6.82</v>
      </c>
      <c r="E18" s="17">
        <v>0.31</v>
      </c>
      <c r="F18" s="15">
        <v>295386624</v>
      </c>
      <c r="G18" s="15">
        <f>+J18+K18+L18+M18</f>
        <v>306772958</v>
      </c>
      <c r="H18" s="14">
        <f t="shared" si="0"/>
        <v>11386334</v>
      </c>
      <c r="I18" s="15">
        <v>11020645</v>
      </c>
      <c r="J18" s="15">
        <v>274567857</v>
      </c>
      <c r="K18" s="15">
        <f>26853+1514090</f>
        <v>1540943</v>
      </c>
      <c r="L18" s="15">
        <v>0</v>
      </c>
      <c r="M18" s="15">
        <v>30664158</v>
      </c>
    </row>
    <row r="19" spans="1:13" s="15" customFormat="1" ht="12.75">
      <c r="A19" s="16" t="s">
        <v>20</v>
      </c>
      <c r="B19" s="16"/>
      <c r="C19" s="15">
        <v>132984574</v>
      </c>
      <c r="D19" s="17">
        <v>7.53</v>
      </c>
      <c r="E19" s="17">
        <v>0.65</v>
      </c>
      <c r="F19" s="15">
        <v>1586382159</v>
      </c>
      <c r="G19" s="15">
        <f t="shared" si="1"/>
        <v>1653327177</v>
      </c>
      <c r="H19" s="14">
        <f t="shared" si="0"/>
        <v>66945018</v>
      </c>
      <c r="I19" s="15">
        <v>27775747</v>
      </c>
      <c r="J19" s="15">
        <v>1340953104</v>
      </c>
      <c r="K19" s="15">
        <f>1626450+41476001+11294713+41121967</f>
        <v>95519131</v>
      </c>
      <c r="L19" s="15">
        <v>10007935</v>
      </c>
      <c r="M19" s="15">
        <v>206847007</v>
      </c>
    </row>
    <row r="20" spans="1:13" s="15" customFormat="1" ht="12.75">
      <c r="A20" s="16" t="s">
        <v>34</v>
      </c>
      <c r="B20" s="16"/>
      <c r="C20" s="15">
        <v>54585264</v>
      </c>
      <c r="D20" s="17">
        <v>9.2</v>
      </c>
      <c r="E20" s="17">
        <v>0.3</v>
      </c>
      <c r="F20" s="15">
        <v>820578083</v>
      </c>
      <c r="G20" s="15">
        <f t="shared" si="1"/>
        <v>845118518</v>
      </c>
      <c r="H20" s="14">
        <f t="shared" si="0"/>
        <v>24540435</v>
      </c>
      <c r="I20" s="15">
        <v>5676066</v>
      </c>
      <c r="J20" s="15">
        <v>758513973</v>
      </c>
      <c r="K20" s="15">
        <f>2097022+25450278+2605+4467294</f>
        <v>32017199</v>
      </c>
      <c r="L20" s="15">
        <v>2082</v>
      </c>
      <c r="M20" s="15">
        <v>54585264</v>
      </c>
    </row>
    <row r="21" spans="1:13" s="15" customFormat="1" ht="12.75">
      <c r="A21" s="16" t="s">
        <v>21</v>
      </c>
      <c r="B21" s="16"/>
      <c r="C21" s="15">
        <v>21239523</v>
      </c>
      <c r="D21" s="17">
        <v>7.17</v>
      </c>
      <c r="E21" s="17">
        <v>0.3</v>
      </c>
      <c r="F21" s="15">
        <v>271359175</v>
      </c>
      <c r="G21" s="15">
        <f t="shared" si="1"/>
        <v>282149210</v>
      </c>
      <c r="H21" s="14">
        <f t="shared" si="0"/>
        <v>10790035</v>
      </c>
      <c r="I21" s="15">
        <v>7125931</v>
      </c>
      <c r="J21" s="15">
        <v>227610859</v>
      </c>
      <c r="K21" s="15">
        <f>2232094+7513621+1753234+11273883</f>
        <v>22772832</v>
      </c>
      <c r="L21" s="15">
        <v>45591</v>
      </c>
      <c r="M21" s="15">
        <v>31719928</v>
      </c>
    </row>
    <row r="22" spans="1:13" s="15" customFormat="1" ht="12.75">
      <c r="A22" s="16" t="s">
        <v>40</v>
      </c>
      <c r="B22" s="16"/>
      <c r="C22" s="15">
        <v>22326872</v>
      </c>
      <c r="D22" s="17">
        <v>10.9</v>
      </c>
      <c r="E22" s="17">
        <v>0.59</v>
      </c>
      <c r="F22" s="15">
        <v>345130401</v>
      </c>
      <c r="G22" s="15">
        <f t="shared" si="1"/>
        <v>350034565</v>
      </c>
      <c r="H22" s="14">
        <f t="shared" si="0"/>
        <v>4904164</v>
      </c>
      <c r="I22" s="15">
        <v>732068</v>
      </c>
      <c r="J22" s="15">
        <v>270943612</v>
      </c>
      <c r="K22" s="15">
        <f>2166310+12470711+16702782+21433647</f>
        <v>52773450</v>
      </c>
      <c r="L22" s="15">
        <v>184785</v>
      </c>
      <c r="M22" s="15">
        <v>26132718</v>
      </c>
    </row>
    <row r="23" spans="1:13" s="15" customFormat="1" ht="12.75">
      <c r="A23" s="16" t="s">
        <v>33</v>
      </c>
      <c r="B23" s="16"/>
      <c r="C23" s="15">
        <v>1558535</v>
      </c>
      <c r="D23" s="17">
        <v>1.52</v>
      </c>
      <c r="E23" s="17">
        <v>0.09</v>
      </c>
      <c r="F23" s="15">
        <v>5169398</v>
      </c>
      <c r="G23" s="15">
        <f t="shared" si="1"/>
        <v>5899835</v>
      </c>
      <c r="H23" s="14">
        <f t="shared" si="0"/>
        <v>730437</v>
      </c>
      <c r="I23" s="15">
        <v>305209</v>
      </c>
      <c r="J23" s="15">
        <v>0</v>
      </c>
      <c r="K23" s="15">
        <f>212878+3397985+0</f>
        <v>3610863</v>
      </c>
      <c r="L23" s="15">
        <v>0</v>
      </c>
      <c r="M23" s="15">
        <v>2288972</v>
      </c>
    </row>
    <row r="24" spans="1:13" s="24" customFormat="1" ht="12.75">
      <c r="A24" s="16" t="s">
        <v>42</v>
      </c>
      <c r="B24" s="16"/>
      <c r="C24" s="15">
        <v>84499798</v>
      </c>
      <c r="D24" s="17">
        <v>8.67</v>
      </c>
      <c r="E24" s="17">
        <v>0.11</v>
      </c>
      <c r="F24" s="15">
        <v>1292015976</v>
      </c>
      <c r="G24" s="14">
        <f t="shared" si="1"/>
        <v>1317365347</v>
      </c>
      <c r="H24" s="14">
        <f t="shared" si="0"/>
        <v>25349371</v>
      </c>
      <c r="I24" s="15">
        <v>20794663</v>
      </c>
      <c r="J24" s="15">
        <v>1109639389</v>
      </c>
      <c r="K24" s="15">
        <f>4061478+46528850+10207773+31300937</f>
        <v>92099038</v>
      </c>
      <c r="L24" s="15">
        <v>156733</v>
      </c>
      <c r="M24" s="15">
        <v>115470187</v>
      </c>
    </row>
    <row r="25" spans="1:13" s="24" customFormat="1" ht="12.75">
      <c r="A25" s="16" t="s">
        <v>22</v>
      </c>
      <c r="B25" s="16"/>
      <c r="C25" s="15">
        <v>11835530</v>
      </c>
      <c r="D25" s="17">
        <v>2.86</v>
      </c>
      <c r="E25" s="17">
        <v>0.36</v>
      </c>
      <c r="F25" s="15">
        <v>120508340</v>
      </c>
      <c r="G25" s="14">
        <f t="shared" si="1"/>
        <v>136051201</v>
      </c>
      <c r="H25" s="14">
        <f>G25-F25</f>
        <v>15542861</v>
      </c>
      <c r="I25" s="15">
        <v>10520323</v>
      </c>
      <c r="J25" s="15">
        <v>32688712</v>
      </c>
      <c r="K25" s="15">
        <f>4012260+42131453+327342+30087309</f>
        <v>76558364</v>
      </c>
      <c r="L25" s="15">
        <v>0</v>
      </c>
      <c r="M25" s="15">
        <v>26804125</v>
      </c>
    </row>
    <row r="26" spans="1:13" s="15" customFormat="1" ht="12.75">
      <c r="A26" s="16" t="s">
        <v>44</v>
      </c>
      <c r="B26" s="18"/>
      <c r="C26" s="15">
        <v>29502307</v>
      </c>
      <c r="D26" s="17">
        <v>11.47</v>
      </c>
      <c r="E26" s="17">
        <v>0.14</v>
      </c>
      <c r="F26" s="15">
        <v>467159907</v>
      </c>
      <c r="G26" s="15">
        <f t="shared" si="1"/>
        <v>474216386</v>
      </c>
      <c r="H26" s="14">
        <f>G26-F26</f>
        <v>7056479</v>
      </c>
      <c r="I26" s="15">
        <v>133167</v>
      </c>
      <c r="J26" s="15">
        <v>403774291</v>
      </c>
      <c r="K26" s="15">
        <v>33883309</v>
      </c>
      <c r="L26" s="15">
        <v>0</v>
      </c>
      <c r="M26" s="15">
        <v>36558786</v>
      </c>
    </row>
    <row r="27" spans="1:13" s="14" customFormat="1" ht="12.75">
      <c r="A27" s="16" t="s">
        <v>32</v>
      </c>
      <c r="B27" s="16"/>
      <c r="C27" s="15">
        <v>1558535</v>
      </c>
      <c r="D27" s="17">
        <v>3.19</v>
      </c>
      <c r="E27" s="17">
        <v>0.13</v>
      </c>
      <c r="F27" s="15">
        <v>14118356</v>
      </c>
      <c r="G27" s="14">
        <f aca="true" t="shared" si="2" ref="G27:G33">+J27+K27+L27+M27</f>
        <v>16199082</v>
      </c>
      <c r="H27" s="14">
        <f aca="true" t="shared" si="3" ref="H27:H33">G27-F27</f>
        <v>2080726</v>
      </c>
      <c r="I27" s="15">
        <v>28195</v>
      </c>
      <c r="J27" s="15">
        <v>11644722</v>
      </c>
      <c r="K27" s="15">
        <f>+289269+375026+213378</f>
        <v>877673</v>
      </c>
      <c r="L27" s="15">
        <v>44821</v>
      </c>
      <c r="M27" s="15">
        <v>3631866</v>
      </c>
    </row>
    <row r="28" spans="1:13" s="14" customFormat="1" ht="12.75">
      <c r="A28" s="16" t="s">
        <v>51</v>
      </c>
      <c r="B28" s="16"/>
      <c r="C28" s="15">
        <v>67773855</v>
      </c>
      <c r="D28" s="17">
        <v>9.01</v>
      </c>
      <c r="E28" s="17">
        <v>0.4</v>
      </c>
      <c r="F28" s="15">
        <v>992278139</v>
      </c>
      <c r="G28" s="14">
        <f t="shared" si="2"/>
        <v>996999467</v>
      </c>
      <c r="H28" s="14">
        <f t="shared" si="3"/>
        <v>4721328</v>
      </c>
      <c r="I28" s="15">
        <v>8817777</v>
      </c>
      <c r="J28" s="15">
        <v>896907594</v>
      </c>
      <c r="K28" s="15">
        <f>3536371+7324494+771679+20330089</f>
        <v>31962633</v>
      </c>
      <c r="L28" s="15">
        <v>355385</v>
      </c>
      <c r="M28" s="15">
        <v>67773855</v>
      </c>
    </row>
    <row r="29" spans="1:13" s="15" customFormat="1" ht="12.75">
      <c r="A29" s="16" t="s">
        <v>52</v>
      </c>
      <c r="B29" s="16"/>
      <c r="C29" s="15">
        <v>18023323</v>
      </c>
      <c r="D29" s="17">
        <v>10.81</v>
      </c>
      <c r="E29" s="17">
        <v>0.12</v>
      </c>
      <c r="F29" s="15">
        <v>280874607</v>
      </c>
      <c r="G29" s="15">
        <f t="shared" si="2"/>
        <v>286553738</v>
      </c>
      <c r="H29" s="14">
        <f t="shared" si="3"/>
        <v>5679131</v>
      </c>
      <c r="I29" s="15">
        <v>176638</v>
      </c>
      <c r="J29" s="15">
        <v>259524521</v>
      </c>
      <c r="K29" s="15">
        <f>310528+3016235</f>
        <v>3326763</v>
      </c>
      <c r="L29" s="15">
        <v>0</v>
      </c>
      <c r="M29" s="15">
        <v>23702454</v>
      </c>
    </row>
    <row r="30" spans="1:13" s="14" customFormat="1" ht="12.75">
      <c r="A30" s="16" t="s">
        <v>48</v>
      </c>
      <c r="B30" s="18"/>
      <c r="C30" s="15">
        <v>33359382</v>
      </c>
      <c r="D30" s="17">
        <v>8.67</v>
      </c>
      <c r="E30" s="17">
        <v>0.21</v>
      </c>
      <c r="F30" s="15">
        <v>511991357</v>
      </c>
      <c r="G30" s="14">
        <f>+J30+K30+L30+M30</f>
        <v>520844873</v>
      </c>
      <c r="H30" s="14">
        <f>G30-F30</f>
        <v>8853516</v>
      </c>
      <c r="I30" s="15">
        <v>4990662</v>
      </c>
      <c r="J30" s="15">
        <v>468297121</v>
      </c>
      <c r="K30" s="15">
        <f>229829+1787543+9575914</f>
        <v>11593286</v>
      </c>
      <c r="L30" s="15">
        <v>55642</v>
      </c>
      <c r="M30" s="15">
        <v>40898824</v>
      </c>
    </row>
    <row r="31" spans="1:13" s="14" customFormat="1" ht="12.75">
      <c r="A31" s="16" t="s">
        <v>45</v>
      </c>
      <c r="B31" s="18"/>
      <c r="C31" s="15">
        <v>60850265</v>
      </c>
      <c r="D31" s="17">
        <v>12.73</v>
      </c>
      <c r="E31" s="17">
        <v>0.5</v>
      </c>
      <c r="F31" s="15">
        <v>933704860</v>
      </c>
      <c r="G31" s="14">
        <f t="shared" si="2"/>
        <v>936523782</v>
      </c>
      <c r="H31" s="14">
        <f t="shared" si="3"/>
        <v>2818922</v>
      </c>
      <c r="I31" s="15">
        <v>7473493</v>
      </c>
      <c r="J31" s="15">
        <v>865431146</v>
      </c>
      <c r="K31" s="15">
        <f>1133247+4463920+638151+1257740</f>
        <v>7493058</v>
      </c>
      <c r="L31" s="15">
        <v>0</v>
      </c>
      <c r="M31" s="15">
        <v>63599578</v>
      </c>
    </row>
    <row r="32" spans="1:13" s="15" customFormat="1" ht="12.75">
      <c r="A32" s="16" t="s">
        <v>23</v>
      </c>
      <c r="B32" s="16"/>
      <c r="C32" s="15">
        <v>17485299</v>
      </c>
      <c r="D32" s="17">
        <v>8.52</v>
      </c>
      <c r="E32" s="17">
        <v>0.21</v>
      </c>
      <c r="F32" s="15">
        <v>273517509</v>
      </c>
      <c r="G32" s="15">
        <f t="shared" si="2"/>
        <v>277171192</v>
      </c>
      <c r="H32" s="14">
        <f t="shared" si="3"/>
        <v>3653683</v>
      </c>
      <c r="I32" s="15">
        <v>11829846</v>
      </c>
      <c r="J32" s="15">
        <v>255010859</v>
      </c>
      <c r="K32" s="15">
        <f>627652+177755+229000</f>
        <v>1034407</v>
      </c>
      <c r="L32" s="15">
        <v>1472</v>
      </c>
      <c r="M32" s="15">
        <v>21124454</v>
      </c>
    </row>
    <row r="33" spans="1:13" s="14" customFormat="1" ht="12.75">
      <c r="A33" s="16" t="s">
        <v>53</v>
      </c>
      <c r="B33" s="16"/>
      <c r="C33" s="15">
        <v>57017962</v>
      </c>
      <c r="D33" s="17">
        <v>6.54</v>
      </c>
      <c r="E33" s="17">
        <v>0.44</v>
      </c>
      <c r="F33" s="15">
        <v>57017962</v>
      </c>
      <c r="G33" s="15">
        <f t="shared" si="2"/>
        <v>57505427</v>
      </c>
      <c r="H33" s="14">
        <f t="shared" si="3"/>
        <v>487465</v>
      </c>
      <c r="I33" s="15">
        <v>647498</v>
      </c>
      <c r="J33" s="15">
        <v>37845246</v>
      </c>
      <c r="K33" s="15">
        <f>1699549+3115186+4574354+4260090</f>
        <v>13649179</v>
      </c>
      <c r="L33" s="15">
        <v>290860</v>
      </c>
      <c r="M33" s="15">
        <v>5720142</v>
      </c>
    </row>
    <row r="34" spans="1:13" s="15" customFormat="1" ht="12.75">
      <c r="A34" s="16" t="s">
        <v>24</v>
      </c>
      <c r="B34" s="16"/>
      <c r="C34" s="15">
        <v>50362182</v>
      </c>
      <c r="D34" s="17">
        <v>8.88</v>
      </c>
      <c r="E34" s="17">
        <v>0.15</v>
      </c>
      <c r="F34" s="15">
        <v>784350791</v>
      </c>
      <c r="G34" s="14">
        <f t="shared" si="1"/>
        <v>795414022</v>
      </c>
      <c r="H34" s="14">
        <f t="shared" si="0"/>
        <v>11063231</v>
      </c>
      <c r="I34" s="15">
        <v>9387317</v>
      </c>
      <c r="J34" s="15">
        <v>717389990</v>
      </c>
      <c r="K34" s="15">
        <f>637459+7291564+2506252+6222979</f>
        <v>16658254</v>
      </c>
      <c r="L34" s="15">
        <v>0</v>
      </c>
      <c r="M34" s="15">
        <v>61365778</v>
      </c>
    </row>
    <row r="35" spans="1:13" s="15" customFormat="1" ht="12.75">
      <c r="A35" s="25" t="s">
        <v>16</v>
      </c>
      <c r="B35" s="25"/>
      <c r="C35" s="26">
        <f>SUM(C9:C34)</f>
        <v>783844823</v>
      </c>
      <c r="D35" s="27"/>
      <c r="E35" s="27"/>
      <c r="F35" s="26">
        <f aca="true" t="shared" si="4" ref="F35:M35">SUM(F9:F34)</f>
        <v>10280822900</v>
      </c>
      <c r="G35" s="26">
        <f t="shared" si="4"/>
        <v>10548360582</v>
      </c>
      <c r="H35" s="26">
        <f t="shared" si="4"/>
        <v>267537682</v>
      </c>
      <c r="I35" s="26">
        <f t="shared" si="4"/>
        <v>161091486</v>
      </c>
      <c r="J35" s="26">
        <f t="shared" si="4"/>
        <v>8937667414</v>
      </c>
      <c r="K35" s="26">
        <f t="shared" si="4"/>
        <v>632484003</v>
      </c>
      <c r="L35" s="26">
        <f t="shared" si="4"/>
        <v>11362294</v>
      </c>
      <c r="M35" s="26">
        <f t="shared" si="4"/>
        <v>966846871</v>
      </c>
    </row>
    <row r="36" spans="1:13" s="15" customFormat="1" ht="12.75">
      <c r="A36" s="28"/>
      <c r="B36" s="28"/>
      <c r="D36" s="17"/>
      <c r="E36" s="17"/>
      <c r="M36" s="21"/>
    </row>
    <row r="37" spans="1:13" s="14" customFormat="1" ht="12.75">
      <c r="A37" s="16" t="s">
        <v>18</v>
      </c>
      <c r="B37" s="18"/>
      <c r="C37" s="15">
        <v>2740269</v>
      </c>
      <c r="D37" s="17">
        <v>2.31</v>
      </c>
      <c r="E37" s="17">
        <v>0.15</v>
      </c>
      <c r="F37" s="15">
        <v>41119140</v>
      </c>
      <c r="G37" s="15">
        <f>+J37+K37+L37+M37</f>
        <v>47480192</v>
      </c>
      <c r="H37" s="14">
        <f>G37-F37</f>
        <v>6361052</v>
      </c>
      <c r="I37" s="15">
        <v>9160324</v>
      </c>
      <c r="J37" s="15">
        <v>38116834</v>
      </c>
      <c r="K37" s="15">
        <f>244243+17794</f>
        <v>262037</v>
      </c>
      <c r="L37" s="15">
        <v>0</v>
      </c>
      <c r="M37" s="15">
        <v>9101321</v>
      </c>
    </row>
    <row r="38" spans="1:13" s="15" customFormat="1" ht="12.75">
      <c r="A38" s="29" t="s">
        <v>36</v>
      </c>
      <c r="B38" s="29"/>
      <c r="C38" s="26">
        <f aca="true" t="shared" si="5" ref="C38:H38">SUM(C37:C37)</f>
        <v>2740269</v>
      </c>
      <c r="D38" s="27"/>
      <c r="E38" s="27"/>
      <c r="F38" s="26">
        <f t="shared" si="5"/>
        <v>41119140</v>
      </c>
      <c r="G38" s="26">
        <f t="shared" si="5"/>
        <v>47480192</v>
      </c>
      <c r="H38" s="26">
        <f t="shared" si="5"/>
        <v>6361052</v>
      </c>
      <c r="I38" s="26">
        <f>SUM(I37:I37)</f>
        <v>9160324</v>
      </c>
      <c r="J38" s="26">
        <f>SUM(J37:J37)</f>
        <v>38116834</v>
      </c>
      <c r="K38" s="26">
        <f>SUM(K37:K37)</f>
        <v>262037</v>
      </c>
      <c r="L38" s="26">
        <f>SUM(L37:L37)</f>
        <v>0</v>
      </c>
      <c r="M38" s="26">
        <f>SUM(M37:M37)</f>
        <v>9101321</v>
      </c>
    </row>
    <row r="39" spans="4:13" s="15" customFormat="1" ht="12.75">
      <c r="D39" s="17"/>
      <c r="E39" s="17"/>
      <c r="I39" s="14"/>
      <c r="J39" s="14"/>
      <c r="K39" s="14"/>
      <c r="M39" s="21"/>
    </row>
    <row r="40" spans="1:13" s="15" customFormat="1" ht="12.75">
      <c r="A40" s="30" t="s">
        <v>9</v>
      </c>
      <c r="B40" s="30"/>
      <c r="C40" s="31">
        <f>C35+C38</f>
        <v>786585092</v>
      </c>
      <c r="D40" s="32"/>
      <c r="E40" s="32"/>
      <c r="F40" s="31">
        <f aca="true" t="shared" si="6" ref="F40:M40">F35+F38</f>
        <v>10321942040</v>
      </c>
      <c r="G40" s="31">
        <f t="shared" si="6"/>
        <v>10595840774</v>
      </c>
      <c r="H40" s="31">
        <f t="shared" si="6"/>
        <v>273898734</v>
      </c>
      <c r="I40" s="31">
        <f t="shared" si="6"/>
        <v>170251810</v>
      </c>
      <c r="J40" s="33">
        <f t="shared" si="6"/>
        <v>8975784248</v>
      </c>
      <c r="K40" s="33">
        <f t="shared" si="6"/>
        <v>632746040</v>
      </c>
      <c r="L40" s="31">
        <f t="shared" si="6"/>
        <v>11362294</v>
      </c>
      <c r="M40" s="31">
        <f t="shared" si="6"/>
        <v>975948192</v>
      </c>
    </row>
    <row r="41" spans="1:13" s="15" customFormat="1" ht="31.5" customHeight="1">
      <c r="A41" s="34"/>
      <c r="B41" s="39"/>
      <c r="C41" s="48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3" s="15" customFormat="1" ht="26.25" customHeight="1">
      <c r="A42" s="34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</row>
    <row r="43" spans="1:13" s="15" customFormat="1" ht="12.75" customHeight="1">
      <c r="A43" s="35"/>
      <c r="B43" s="46" t="s">
        <v>47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</row>
    <row r="44" spans="1:13" s="15" customFormat="1" ht="12.75" customHeight="1">
      <c r="A44" s="3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</row>
    <row r="45" spans="1:5" s="15" customFormat="1" ht="12.75">
      <c r="A45" s="35"/>
      <c r="B45" s="35"/>
      <c r="D45" s="17"/>
      <c r="E45" s="17"/>
    </row>
    <row r="46" spans="1:5" s="15" customFormat="1" ht="12.75">
      <c r="A46" s="35"/>
      <c r="B46" s="35"/>
      <c r="D46" s="17"/>
      <c r="E46" s="17"/>
    </row>
    <row r="47" spans="1:5" s="15" customFormat="1" ht="12.75">
      <c r="A47" s="21"/>
      <c r="B47" s="42"/>
      <c r="C47" s="42"/>
      <c r="D47" s="17"/>
      <c r="E47" s="17"/>
    </row>
    <row r="48" spans="1:5" s="15" customFormat="1" ht="12.75">
      <c r="A48" s="21"/>
      <c r="B48" s="16"/>
      <c r="C48" s="18"/>
      <c r="D48" s="17"/>
      <c r="E48" s="17"/>
    </row>
    <row r="49" spans="1:5" s="15" customFormat="1" ht="12.75">
      <c r="A49" s="21"/>
      <c r="B49" s="16"/>
      <c r="C49" s="16"/>
      <c r="D49" s="17"/>
      <c r="E49" s="17"/>
    </row>
    <row r="50" spans="1:6" s="15" customFormat="1" ht="12.75">
      <c r="A50" s="21"/>
      <c r="B50" s="16"/>
      <c r="C50" s="16"/>
      <c r="D50" s="17"/>
      <c r="E50" s="17"/>
      <c r="F50" s="15" t="s">
        <v>37</v>
      </c>
    </row>
    <row r="51" spans="2:5" s="15" customFormat="1" ht="12.75">
      <c r="B51" s="16"/>
      <c r="C51" s="16"/>
      <c r="D51" s="17"/>
      <c r="E51" s="17"/>
    </row>
    <row r="52" spans="2:5" s="15" customFormat="1" ht="12.75">
      <c r="B52" s="18"/>
      <c r="C52" s="18"/>
      <c r="D52" s="17"/>
      <c r="E52" s="17"/>
    </row>
    <row r="53" spans="4:5" s="15" customFormat="1" ht="12.75">
      <c r="D53" s="17"/>
      <c r="E53" s="17"/>
    </row>
    <row r="54" spans="4:5" s="15" customFormat="1" ht="12.75">
      <c r="D54" s="17"/>
      <c r="E54" s="17"/>
    </row>
    <row r="55" spans="4:5" s="15" customFormat="1" ht="12.75">
      <c r="D55" s="17"/>
      <c r="E55" s="17"/>
    </row>
    <row r="56" spans="4:5" s="15" customFormat="1" ht="12.75">
      <c r="D56" s="17"/>
      <c r="E56" s="17"/>
    </row>
    <row r="57" spans="4:5" s="15" customFormat="1" ht="12.75">
      <c r="D57" s="17"/>
      <c r="E57" s="17"/>
    </row>
    <row r="58" spans="4:5" s="15" customFormat="1" ht="12.75">
      <c r="D58" s="17"/>
      <c r="E58" s="17"/>
    </row>
    <row r="59" spans="4:5" s="15" customFormat="1" ht="12.75">
      <c r="D59" s="17"/>
      <c r="E59" s="17"/>
    </row>
    <row r="60" spans="4:5" s="15" customFormat="1" ht="12.75">
      <c r="D60" s="17"/>
      <c r="E60" s="17"/>
    </row>
    <row r="61" spans="4:5" s="15" customFormat="1" ht="12.75">
      <c r="D61" s="17"/>
      <c r="E61" s="17"/>
    </row>
    <row r="62" spans="4:5" s="15" customFormat="1" ht="12.75">
      <c r="D62" s="17"/>
      <c r="E62" s="17"/>
    </row>
    <row r="63" spans="4:5" s="15" customFormat="1" ht="12.75">
      <c r="D63" s="17"/>
      <c r="E63" s="17"/>
    </row>
    <row r="64" spans="4:5" s="15" customFormat="1" ht="12.75">
      <c r="D64" s="17"/>
      <c r="E64" s="17"/>
    </row>
    <row r="65" spans="4:5" s="15" customFormat="1" ht="12.75">
      <c r="D65" s="17"/>
      <c r="E65" s="17"/>
    </row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="15" customFormat="1" ht="12.75"/>
    <row r="115" s="15" customFormat="1" ht="12.75"/>
    <row r="116" s="15" customFormat="1" ht="12.75"/>
    <row r="117" s="15" customFormat="1" ht="12.75"/>
    <row r="118" s="15" customFormat="1" ht="12.75"/>
    <row r="119" s="15" customFormat="1" ht="12.75"/>
    <row r="120" s="15" customFormat="1" ht="12.75"/>
    <row r="121" s="15" customFormat="1" ht="12.75"/>
    <row r="122" s="15" customFormat="1" ht="12.75"/>
    <row r="123" s="15" customFormat="1" ht="12.75"/>
    <row r="124" s="15" customFormat="1" ht="12.75"/>
    <row r="125" s="15" customFormat="1" ht="12.75"/>
    <row r="126" s="15" customFormat="1" ht="12.75"/>
    <row r="127" s="15" customFormat="1" ht="12.75"/>
    <row r="128" s="15" customFormat="1" ht="12.75"/>
    <row r="129" s="15" customFormat="1" ht="12.75"/>
    <row r="130" s="15" customFormat="1" ht="12.75"/>
    <row r="131" s="15" customFormat="1" ht="12.75"/>
    <row r="132" s="15" customFormat="1" ht="12.75"/>
    <row r="133" s="15" customFormat="1" ht="12.75"/>
    <row r="134" s="15" customFormat="1" ht="12.75"/>
    <row r="135" s="15" customFormat="1" ht="12.75"/>
    <row r="136" s="15" customFormat="1" ht="12.75"/>
    <row r="137" s="15" customFormat="1" ht="12.75"/>
    <row r="138" s="15" customFormat="1" ht="12.75"/>
    <row r="139" s="15" customFormat="1" ht="12.75"/>
    <row r="140" s="15" customFormat="1" ht="12.75"/>
    <row r="141" s="15" customFormat="1" ht="12.75"/>
    <row r="142" s="15" customFormat="1" ht="12.75"/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</sheetData>
  <mergeCells count="8">
    <mergeCell ref="B47:C47"/>
    <mergeCell ref="A14:B14"/>
    <mergeCell ref="D5:E5"/>
    <mergeCell ref="A9:B9"/>
    <mergeCell ref="B42:M42"/>
    <mergeCell ref="B43:M43"/>
    <mergeCell ref="B44:M44"/>
    <mergeCell ref="C41:M41"/>
  </mergeCells>
  <printOptions/>
  <pageMargins left="0.7" right="0.3937007874015748" top="0.5905511811023623" bottom="0.1968503937007874" header="0.1968503937007874" footer="0"/>
  <pageSetup fitToHeight="1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42"/>
  <sheetViews>
    <sheetView tabSelected="1" zoomScale="90" zoomScaleNormal="90" workbookViewId="0" topLeftCell="A1">
      <selection activeCell="A13" sqref="A13"/>
    </sheetView>
  </sheetViews>
  <sheetFormatPr defaultColWidth="11.421875" defaultRowHeight="12.75"/>
  <cols>
    <col min="1" max="1" width="11.8515625" style="0" customWidth="1"/>
    <col min="4" max="4" width="10.00390625" style="0" customWidth="1"/>
    <col min="5" max="5" width="10.140625" style="0" customWidth="1"/>
    <col min="6" max="6" width="15.8515625" style="0" customWidth="1"/>
    <col min="7" max="7" width="16.00390625" style="0" customWidth="1"/>
    <col min="8" max="8" width="17.8515625" style="0" customWidth="1"/>
    <col min="9" max="9" width="17.140625" style="0" customWidth="1"/>
    <col min="10" max="10" width="16.28125" style="0" customWidth="1"/>
    <col min="11" max="11" width="17.57421875" style="0" customWidth="1"/>
  </cols>
  <sheetData>
    <row r="1" ht="12.75">
      <c r="A1" s="50"/>
    </row>
    <row r="2" ht="12.75">
      <c r="A2" s="50"/>
    </row>
    <row r="3" spans="1:11" ht="12.75">
      <c r="A3" s="51" t="s">
        <v>54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2.75">
      <c r="A4" s="53" t="s">
        <v>50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2.7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s="54" customFormat="1" ht="12.75">
      <c r="A6" s="52" t="s">
        <v>55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ht="12.75">
      <c r="A7" s="10" t="s">
        <v>2</v>
      </c>
      <c r="B7" s="55"/>
      <c r="C7" s="55"/>
      <c r="D7" s="56" t="s">
        <v>56</v>
      </c>
      <c r="E7" s="57"/>
      <c r="F7" s="58" t="s">
        <v>57</v>
      </c>
      <c r="G7" s="58" t="s">
        <v>7</v>
      </c>
      <c r="H7" s="59" t="s">
        <v>58</v>
      </c>
      <c r="I7" s="58" t="s">
        <v>57</v>
      </c>
      <c r="J7" s="58" t="s">
        <v>7</v>
      </c>
      <c r="K7" s="59" t="s">
        <v>58</v>
      </c>
    </row>
    <row r="8" spans="1:11" ht="12.75">
      <c r="A8" s="60"/>
      <c r="B8" s="60"/>
      <c r="C8" s="60"/>
      <c r="D8" s="5" t="s">
        <v>9</v>
      </c>
      <c r="E8" s="5" t="s">
        <v>10</v>
      </c>
      <c r="F8" s="61" t="s">
        <v>59</v>
      </c>
      <c r="G8" s="61" t="s">
        <v>60</v>
      </c>
      <c r="H8" s="61" t="s">
        <v>61</v>
      </c>
      <c r="I8" s="61" t="s">
        <v>62</v>
      </c>
      <c r="J8" s="61" t="s">
        <v>60</v>
      </c>
      <c r="K8" s="61" t="s">
        <v>61</v>
      </c>
    </row>
    <row r="9" spans="1:11" ht="12.75">
      <c r="A9" s="62"/>
      <c r="B9" s="62"/>
      <c r="C9" s="62"/>
      <c r="D9" s="62"/>
      <c r="E9" s="62"/>
      <c r="F9" s="63" t="s">
        <v>63</v>
      </c>
      <c r="G9" s="63" t="s">
        <v>64</v>
      </c>
      <c r="H9" s="63" t="s">
        <v>64</v>
      </c>
      <c r="I9" s="63" t="s">
        <v>3</v>
      </c>
      <c r="J9" s="64" t="s">
        <v>65</v>
      </c>
      <c r="K9" s="64" t="s">
        <v>65</v>
      </c>
    </row>
    <row r="10" spans="1:11" ht="12.75">
      <c r="A10" s="60"/>
      <c r="B10" s="60"/>
      <c r="C10" s="60"/>
      <c r="D10" s="65"/>
      <c r="E10" s="65"/>
      <c r="F10" s="40"/>
      <c r="G10" s="40"/>
      <c r="H10" s="40"/>
      <c r="I10" s="40"/>
      <c r="J10" s="66"/>
      <c r="K10" s="66"/>
    </row>
    <row r="11" spans="1:11" ht="12.75">
      <c r="A11" s="67" t="s">
        <v>66</v>
      </c>
      <c r="B11" s="68"/>
      <c r="C11" s="68"/>
      <c r="D11" s="69">
        <v>0.99</v>
      </c>
      <c r="E11" s="70">
        <v>0.003</v>
      </c>
      <c r="F11" s="71">
        <v>53384069</v>
      </c>
      <c r="G11" s="71">
        <f>52039191+1344878</f>
        <v>53384069</v>
      </c>
      <c r="H11" s="71">
        <f>G11-F11</f>
        <v>0</v>
      </c>
      <c r="I11" s="71">
        <v>53858988</v>
      </c>
      <c r="J11" s="71">
        <v>53864956</v>
      </c>
      <c r="K11" s="71">
        <f>J11-I11</f>
        <v>5968</v>
      </c>
    </row>
    <row r="12" spans="1:11" ht="12.75">
      <c r="A12" s="72" t="s">
        <v>67</v>
      </c>
      <c r="B12" s="68"/>
      <c r="C12" s="68"/>
      <c r="D12" s="69">
        <v>0.47</v>
      </c>
      <c r="E12" s="69">
        <v>0.014</v>
      </c>
      <c r="F12" s="71">
        <v>15720223</v>
      </c>
      <c r="G12" s="71">
        <f>410446+10772886+4536891</f>
        <v>15720223</v>
      </c>
      <c r="H12" s="71">
        <f>G12-F12</f>
        <v>0</v>
      </c>
      <c r="I12" s="71">
        <v>33313115</v>
      </c>
      <c r="J12" s="71">
        <v>33755539</v>
      </c>
      <c r="K12" s="71">
        <f>J12-I12</f>
        <v>442424</v>
      </c>
    </row>
    <row r="13" spans="1:11" ht="12.75">
      <c r="A13" s="60"/>
      <c r="B13" s="60"/>
      <c r="C13" s="60"/>
      <c r="D13" s="73"/>
      <c r="E13" s="65"/>
      <c r="F13" s="71"/>
      <c r="G13" s="71"/>
      <c r="H13" s="71"/>
      <c r="I13" s="71"/>
      <c r="J13" s="71"/>
      <c r="K13" s="71"/>
    </row>
    <row r="14" spans="1:11" ht="12.75">
      <c r="A14" s="52"/>
      <c r="B14" s="52"/>
      <c r="C14" s="52"/>
      <c r="D14" s="74"/>
      <c r="E14" s="74"/>
      <c r="F14" s="75"/>
      <c r="G14" s="75"/>
      <c r="H14" s="75"/>
      <c r="I14" s="75"/>
      <c r="J14" s="75"/>
      <c r="K14" s="75"/>
    </row>
    <row r="15" spans="1:11" ht="12.75">
      <c r="A15" s="76" t="s">
        <v>68</v>
      </c>
      <c r="B15" s="52"/>
      <c r="C15" s="52"/>
      <c r="D15" s="74"/>
      <c r="E15" s="74"/>
      <c r="F15" s="75"/>
      <c r="G15" s="75"/>
      <c r="H15" s="75"/>
      <c r="I15" s="75"/>
      <c r="J15" s="75"/>
      <c r="K15" s="75"/>
    </row>
    <row r="16" spans="1:11" s="60" customFormat="1" ht="10.5">
      <c r="A16" s="10" t="s">
        <v>2</v>
      </c>
      <c r="B16" s="55"/>
      <c r="C16" s="55"/>
      <c r="D16" s="56" t="s">
        <v>56</v>
      </c>
      <c r="E16" s="77"/>
      <c r="F16" s="7" t="s">
        <v>69</v>
      </c>
      <c r="G16" s="7" t="s">
        <v>69</v>
      </c>
      <c r="H16" s="6" t="s">
        <v>70</v>
      </c>
      <c r="I16" s="6" t="s">
        <v>71</v>
      </c>
      <c r="J16" s="71"/>
      <c r="K16" s="71"/>
    </row>
    <row r="17" spans="4:11" s="60" customFormat="1" ht="10.5">
      <c r="D17" s="5" t="s">
        <v>9</v>
      </c>
      <c r="E17" s="5" t="s">
        <v>10</v>
      </c>
      <c r="F17" s="2" t="s">
        <v>72</v>
      </c>
      <c r="G17" s="2" t="s">
        <v>72</v>
      </c>
      <c r="H17" s="78" t="s">
        <v>73</v>
      </c>
      <c r="I17" s="78" t="s">
        <v>61</v>
      </c>
      <c r="J17" s="71"/>
      <c r="K17" s="71"/>
    </row>
    <row r="18" spans="4:11" s="60" customFormat="1" ht="10.5">
      <c r="D18" s="65"/>
      <c r="E18" s="65"/>
      <c r="F18" s="2" t="s">
        <v>74</v>
      </c>
      <c r="G18" s="78" t="s">
        <v>75</v>
      </c>
      <c r="H18" s="2" t="s">
        <v>76</v>
      </c>
      <c r="I18" s="78" t="s">
        <v>77</v>
      </c>
      <c r="J18" s="71"/>
      <c r="K18" s="71"/>
    </row>
    <row r="19" spans="1:11" s="60" customFormat="1" ht="10.5">
      <c r="A19" s="62"/>
      <c r="B19" s="62"/>
      <c r="C19" s="62"/>
      <c r="D19" s="79"/>
      <c r="E19" s="79"/>
      <c r="F19" s="20" t="s">
        <v>78</v>
      </c>
      <c r="G19" s="20" t="s">
        <v>79</v>
      </c>
      <c r="H19" s="20" t="s">
        <v>80</v>
      </c>
      <c r="I19" s="20" t="s">
        <v>80</v>
      </c>
      <c r="J19" s="71"/>
      <c r="K19" s="71"/>
    </row>
    <row r="20" spans="1:11" ht="12.75">
      <c r="A20" s="60"/>
      <c r="B20" s="60"/>
      <c r="C20" s="52"/>
      <c r="D20" s="74"/>
      <c r="E20" s="74"/>
      <c r="F20" s="75"/>
      <c r="G20" s="75"/>
      <c r="H20" s="75"/>
      <c r="I20" s="75"/>
      <c r="J20" s="75"/>
      <c r="K20" s="75"/>
    </row>
    <row r="21" spans="1:11" s="60" customFormat="1" ht="12.75">
      <c r="A21" s="68" t="s">
        <v>81</v>
      </c>
      <c r="D21" s="69">
        <v>2.09</v>
      </c>
      <c r="E21" s="69">
        <v>0.015</v>
      </c>
      <c r="F21" s="71">
        <v>48873879</v>
      </c>
      <c r="G21" s="71">
        <v>26669354</v>
      </c>
      <c r="H21" s="71">
        <v>75791112</v>
      </c>
      <c r="I21" s="71">
        <f>+H21-G21-F21</f>
        <v>247879</v>
      </c>
      <c r="J21" s="71"/>
      <c r="K21" s="71"/>
    </row>
    <row r="22" spans="1:11" ht="12.75">
      <c r="A22" s="52"/>
      <c r="B22" s="52"/>
      <c r="C22" s="52"/>
      <c r="D22" s="74"/>
      <c r="E22" s="74"/>
      <c r="F22" s="75"/>
      <c r="G22" s="75"/>
      <c r="H22" s="75"/>
      <c r="I22" s="75"/>
      <c r="J22" s="75"/>
      <c r="K22" s="75"/>
    </row>
    <row r="23" spans="1:11" ht="12.75">
      <c r="A23" s="52"/>
      <c r="B23" s="52"/>
      <c r="C23" s="52"/>
      <c r="D23" s="74"/>
      <c r="E23" s="74"/>
      <c r="F23" s="75"/>
      <c r="G23" s="75"/>
      <c r="H23" s="75"/>
      <c r="I23" s="75"/>
      <c r="J23" s="75"/>
      <c r="K23" s="75"/>
    </row>
    <row r="24" spans="1:11" ht="12.7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</row>
    <row r="25" spans="1:11" ht="12.75">
      <c r="A25" s="52"/>
      <c r="B25" s="80"/>
      <c r="C25" s="80"/>
      <c r="D25" s="80"/>
      <c r="E25" s="80"/>
      <c r="F25" s="80"/>
      <c r="G25" s="80"/>
      <c r="H25" s="80"/>
      <c r="I25" s="80"/>
      <c r="J25" s="80"/>
      <c r="K25" s="80"/>
    </row>
    <row r="26" spans="1:11" ht="12.7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</row>
    <row r="27" spans="1:11" ht="12.75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</row>
    <row r="28" spans="1:11" ht="12.75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</row>
    <row r="42" ht="12.75">
      <c r="A42">
        <f>22701586+55852</f>
        <v>22757438</v>
      </c>
    </row>
  </sheetData>
  <printOptions/>
  <pageMargins left="1.4960629921259843" right="0.7480314960629921" top="0.4724409448818898" bottom="0.6299212598425197" header="0" footer="0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AAAlvara</cp:lastModifiedBy>
  <cp:lastPrinted>2005-04-18T15:59:00Z</cp:lastPrinted>
  <dcterms:created xsi:type="dcterms:W3CDTF">1998-12-29T20:15:03Z</dcterms:created>
  <dcterms:modified xsi:type="dcterms:W3CDTF">2005-04-18T22:51:32Z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-1633946323</vt:i4>
  </property>
  <property fmtid="{D5CDD505-2E9C-101B-9397-08002B2CF9AE}" pid="3" name="_EmailSubject">
    <vt:lpwstr>cumplimiento de normas vida y mutuales para web (dic 2004)</vt:lpwstr>
  </property>
  <property fmtid="{D5CDD505-2E9C-101B-9397-08002B2CF9AE}" pid="4" name="_AuthorEmail">
    <vt:lpwstr>AAAlvarado@svs.cl</vt:lpwstr>
  </property>
  <property fmtid="{D5CDD505-2E9C-101B-9397-08002B2CF9AE}" pid="5" name="_AuthorEmailDisplayName">
    <vt:lpwstr>Alvarado Bravo Alejandro</vt:lpwstr>
  </property>
  <property fmtid="{D5CDD505-2E9C-101B-9397-08002B2CF9AE}" pid="6" name="_PreviousAdHocReviewCycleID">
    <vt:i4>-352319065</vt:i4>
  </property>
</Properties>
</file>