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<sst xmlns="http://schemas.openxmlformats.org/spreadsheetml/2006/main" count="104" uniqueCount="19">
  <si>
    <t>-</t>
  </si>
  <si>
    <t>( Cifras en millones de US$ de diciembre de cada año )</t>
  </si>
  <si>
    <t>MUS$</t>
  </si>
  <si>
    <t>%</t>
  </si>
  <si>
    <t>Instrumentos del Estado</t>
  </si>
  <si>
    <t>Letras Hipotecarias</t>
  </si>
  <si>
    <t>Depósitos a plazo</t>
  </si>
  <si>
    <t>Acciones de S. A.</t>
  </si>
  <si>
    <t>Bonos y debentures</t>
  </si>
  <si>
    <t>Bonos bancarios</t>
  </si>
  <si>
    <t>Caja y bancos</t>
  </si>
  <si>
    <t>Otros</t>
  </si>
  <si>
    <t>Inversiones inmobiliarias</t>
  </si>
  <si>
    <t>Mutuos hipotecarios</t>
  </si>
  <si>
    <t>Fondos de inversión</t>
  </si>
  <si>
    <t>TOTAL INVERSIONES</t>
  </si>
  <si>
    <t>Inversión en el extranjero</t>
  </si>
  <si>
    <t>(Aseguradoras y Reaseguradoras)</t>
  </si>
  <si>
    <t>INVERSIONES COMPAÑIAS DE SEGUROS DE VIDA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</si>
</sst>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8"/>
      <color indexed="18"/>
      <name val="Times New Roman"/>
      <family val="1"/>
    </font>
    <font>
      <b/>
      <sz val="9"/>
      <color indexed="1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9"/>
      <color indexed="8"/>
      <name val="Times New Roman"/>
      <family val="1"/>
    </font>
    <font>
      <b/>
      <sz val="11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u val="single"/>
      <sz val="9"/>
      <color indexed="8"/>
      <name val="Times New Roman"/>
      <family val="1"/>
    </font>
    <font>
      <sz val="7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12">
    <xf numFmtId="0" fontId="0" fillId="0" borderId="0" xfId="0" applyAlignment="1">
      <alignment/>
    </xf>
    <xf numFmtId="3" fontId="6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centerContinuous"/>
    </xf>
    <xf numFmtId="3" fontId="8" fillId="33" borderId="0" xfId="0" applyNumberFormat="1" applyFont="1" applyFill="1" applyAlignment="1">
      <alignment horizontal="centerContinuous"/>
    </xf>
    <xf numFmtId="3" fontId="7" fillId="33" borderId="0" xfId="0" applyNumberFormat="1" applyFont="1" applyFill="1" applyBorder="1" applyAlignment="1">
      <alignment horizontal="centerContinuous"/>
    </xf>
    <xf numFmtId="3" fontId="0" fillId="33" borderId="0" xfId="0" applyNumberFormat="1" applyFont="1" applyFill="1" applyAlignment="1">
      <alignment/>
    </xf>
    <xf numFmtId="198" fontId="9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3" fontId="8" fillId="33" borderId="0" xfId="0" applyNumberFormat="1" applyFont="1" applyFill="1" applyAlignment="1">
      <alignment horizontal="left"/>
    </xf>
    <xf numFmtId="3" fontId="7" fillId="33" borderId="0" xfId="0" applyNumberFormat="1" applyFont="1" applyFill="1" applyBorder="1" applyAlignment="1" quotePrefix="1">
      <alignment horizontal="centerContinuous"/>
    </xf>
    <xf numFmtId="3" fontId="7" fillId="33" borderId="0" xfId="0" applyNumberFormat="1" applyFont="1" applyFill="1" applyAlignment="1" quotePrefix="1">
      <alignment horizontal="centerContinuous"/>
    </xf>
    <xf numFmtId="198" fontId="0" fillId="33" borderId="0" xfId="0" applyNumberForma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3" fontId="8" fillId="33" borderId="0" xfId="0" applyNumberFormat="1" applyFont="1" applyFill="1" applyAlignment="1" quotePrefix="1">
      <alignment horizontal="centerContinuous"/>
    </xf>
    <xf numFmtId="198" fontId="9" fillId="33" borderId="0" xfId="0" applyNumberFormat="1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Continuous"/>
    </xf>
    <xf numFmtId="0" fontId="3" fillId="33" borderId="0" xfId="0" applyNumberFormat="1" applyFont="1" applyFill="1" applyAlignment="1">
      <alignment horizontal="centerContinuous"/>
    </xf>
    <xf numFmtId="0" fontId="12" fillId="33" borderId="0" xfId="0" applyNumberFormat="1" applyFont="1" applyFill="1" applyBorder="1" applyAlignment="1">
      <alignment horizontal="centerContinuous"/>
    </xf>
    <xf numFmtId="0" fontId="13" fillId="33" borderId="0" xfId="0" applyNumberFormat="1" applyFont="1" applyFill="1" applyAlignment="1">
      <alignment horizontal="center"/>
    </xf>
    <xf numFmtId="198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14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/>
    </xf>
    <xf numFmtId="0" fontId="14" fillId="33" borderId="0" xfId="0" applyNumberFormat="1" applyFont="1" applyFill="1" applyBorder="1" applyAlignment="1">
      <alignment horizontal="left"/>
    </xf>
    <xf numFmtId="198" fontId="5" fillId="33" borderId="0" xfId="0" applyNumberFormat="1" applyFont="1" applyFill="1" applyBorder="1" applyAlignment="1">
      <alignment horizontal="left"/>
    </xf>
    <xf numFmtId="3" fontId="8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98" fontId="0" fillId="33" borderId="1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198" fontId="16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15" fillId="33" borderId="0" xfId="0" applyNumberFormat="1" applyFont="1" applyFill="1" applyAlignment="1">
      <alignment/>
    </xf>
    <xf numFmtId="198" fontId="17" fillId="33" borderId="0" xfId="0" applyNumberFormat="1" applyFont="1" applyFill="1" applyAlignment="1">
      <alignment/>
    </xf>
    <xf numFmtId="3" fontId="8" fillId="33" borderId="0" xfId="0" applyNumberFormat="1" applyFont="1" applyFill="1" applyAlignment="1" quotePrefix="1">
      <alignment horizontal="left"/>
    </xf>
    <xf numFmtId="3" fontId="15" fillId="33" borderId="0" xfId="0" applyNumberFormat="1" applyFont="1" applyFill="1" applyAlignment="1" quotePrefix="1">
      <alignment horizontal="right"/>
    </xf>
    <xf numFmtId="3" fontId="15" fillId="33" borderId="0" xfId="0" applyNumberFormat="1" applyFont="1" applyFill="1" applyAlignment="1">
      <alignment horizontal="right"/>
    </xf>
    <xf numFmtId="198" fontId="17" fillId="33" borderId="0" xfId="0" applyNumberFormat="1" applyFont="1" applyFill="1" applyAlignment="1">
      <alignment horizontal="right"/>
    </xf>
    <xf numFmtId="3" fontId="15" fillId="33" borderId="0" xfId="0" applyNumberFormat="1" applyFont="1" applyFill="1" applyBorder="1" applyAlignment="1" quotePrefix="1">
      <alignment horizontal="right"/>
    </xf>
    <xf numFmtId="198" fontId="16" fillId="33" borderId="0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/>
    </xf>
    <xf numFmtId="198" fontId="16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198" fontId="16" fillId="33" borderId="10" xfId="0" applyNumberFormat="1" applyFont="1" applyFill="1" applyBorder="1" applyAlignment="1">
      <alignment/>
    </xf>
    <xf numFmtId="3" fontId="15" fillId="33" borderId="10" xfId="0" applyNumberFormat="1" applyFont="1" applyFill="1" applyBorder="1" applyAlignment="1" quotePrefix="1">
      <alignment horizontal="right"/>
    </xf>
    <xf numFmtId="3" fontId="15" fillId="33" borderId="10" xfId="0" applyNumberFormat="1" applyFont="1" applyFill="1" applyBorder="1" applyAlignment="1">
      <alignment/>
    </xf>
    <xf numFmtId="3" fontId="15" fillId="33" borderId="10" xfId="0" applyNumberFormat="1" applyFont="1" applyFill="1" applyBorder="1" applyAlignment="1">
      <alignment/>
    </xf>
    <xf numFmtId="3" fontId="15" fillId="33" borderId="0" xfId="0" applyNumberFormat="1" applyFont="1" applyFill="1" applyAlignment="1" quotePrefix="1">
      <alignment horizontal="left"/>
    </xf>
    <xf numFmtId="3" fontId="15" fillId="33" borderId="0" xfId="0" applyNumberFormat="1" applyFont="1" applyFill="1" applyAlignment="1">
      <alignment horizontal="centerContinuous"/>
    </xf>
    <xf numFmtId="3" fontId="15" fillId="33" borderId="0" xfId="0" applyNumberFormat="1" applyFont="1" applyFill="1" applyBorder="1" applyAlignment="1">
      <alignment horizontal="centerContinuous"/>
    </xf>
    <xf numFmtId="9" fontId="8" fillId="33" borderId="0" xfId="0" applyNumberFormat="1" applyFont="1" applyFill="1" applyBorder="1" applyAlignment="1">
      <alignment horizontal="centerContinuous"/>
    </xf>
    <xf numFmtId="9" fontId="8" fillId="33" borderId="11" xfId="0" applyNumberFormat="1" applyFont="1" applyFill="1" applyBorder="1" applyAlignment="1">
      <alignment horizontal="centerContinuous"/>
    </xf>
    <xf numFmtId="3" fontId="15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Border="1" applyAlignment="1">
      <alignment horizontal="centerContinuous"/>
    </xf>
    <xf numFmtId="3" fontId="6" fillId="33" borderId="0" xfId="0" applyNumberFormat="1" applyFont="1" applyFill="1" applyBorder="1" applyAlignment="1">
      <alignment horizontal="centerContinuous"/>
    </xf>
    <xf numFmtId="3" fontId="8" fillId="33" borderId="0" xfId="0" applyNumberFormat="1" applyFont="1" applyFill="1" applyBorder="1" applyAlignment="1">
      <alignment horizontal="centerContinuous"/>
    </xf>
    <xf numFmtId="3" fontId="0" fillId="33" borderId="10" xfId="0" applyNumberFormat="1" applyFont="1" applyFill="1" applyBorder="1" applyAlignment="1">
      <alignment/>
    </xf>
    <xf numFmtId="198" fontId="0" fillId="33" borderId="0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198" fontId="8" fillId="33" borderId="0" xfId="0" applyNumberFormat="1" applyFont="1" applyFill="1" applyAlignment="1">
      <alignment/>
    </xf>
    <xf numFmtId="169" fontId="0" fillId="33" borderId="0" xfId="50" applyFont="1" applyFill="1" applyAlignment="1">
      <alignment/>
    </xf>
    <xf numFmtId="1" fontId="0" fillId="33" borderId="0" xfId="0" applyNumberFormat="1" applyFont="1" applyFill="1" applyAlignment="1">
      <alignment/>
    </xf>
    <xf numFmtId="3" fontId="19" fillId="33" borderId="0" xfId="0" applyNumberFormat="1" applyFont="1" applyFill="1" applyAlignment="1" quotePrefix="1">
      <alignment horizontal="left"/>
    </xf>
    <xf numFmtId="3" fontId="20" fillId="33" borderId="0" xfId="0" applyNumberFormat="1" applyFont="1" applyFill="1" applyAlignment="1">
      <alignment/>
    </xf>
    <xf numFmtId="3" fontId="20" fillId="33" borderId="0" xfId="0" applyNumberFormat="1" applyFont="1" applyFill="1" applyBorder="1" applyAlignment="1">
      <alignment/>
    </xf>
    <xf numFmtId="198" fontId="11" fillId="33" borderId="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4" fillId="33" borderId="0" xfId="0" applyNumberFormat="1" applyFont="1" applyFill="1" applyAlignment="1">
      <alignment/>
    </xf>
    <xf numFmtId="198" fontId="4" fillId="33" borderId="0" xfId="0" applyNumberFormat="1" applyFont="1" applyFill="1" applyAlignment="1">
      <alignment/>
    </xf>
    <xf numFmtId="198" fontId="0" fillId="33" borderId="0" xfId="0" applyNumberFormat="1" applyFill="1" applyAlignment="1">
      <alignment/>
    </xf>
    <xf numFmtId="3" fontId="21" fillId="33" borderId="0" xfId="0" applyNumberFormat="1" applyFont="1" applyFill="1" applyAlignment="1">
      <alignment/>
    </xf>
    <xf numFmtId="198" fontId="21" fillId="33" borderId="0" xfId="0" applyNumberFormat="1" applyFont="1" applyFill="1" applyAlignment="1">
      <alignment/>
    </xf>
    <xf numFmtId="198" fontId="0" fillId="33" borderId="11" xfId="0" applyNumberFormat="1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 horizontal="right"/>
    </xf>
    <xf numFmtId="0" fontId="8" fillId="33" borderId="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198" fontId="16" fillId="33" borderId="0" xfId="0" applyNumberFormat="1" applyFont="1" applyFill="1" applyAlignment="1">
      <alignment horizontal="right"/>
    </xf>
    <xf numFmtId="198" fontId="16" fillId="33" borderId="0" xfId="0" applyNumberFormat="1" applyFont="1" applyFill="1" applyAlignment="1" quotePrefix="1">
      <alignment horizontal="right"/>
    </xf>
    <xf numFmtId="3" fontId="15" fillId="33" borderId="0" xfId="0" applyNumberFormat="1" applyFont="1" applyFill="1" applyAlignment="1" quotePrefix="1">
      <alignment horizontal="right"/>
    </xf>
    <xf numFmtId="3" fontId="15" fillId="33" borderId="10" xfId="0" applyNumberFormat="1" applyFont="1" applyFill="1" applyBorder="1" applyAlignment="1">
      <alignment horizontal="right"/>
    </xf>
    <xf numFmtId="0" fontId="22" fillId="33" borderId="0" xfId="0" applyNumberFormat="1" applyFont="1" applyFill="1" applyAlignment="1">
      <alignment horizontal="right"/>
    </xf>
    <xf numFmtId="0" fontId="5" fillId="33" borderId="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198" fontId="5" fillId="33" borderId="0" xfId="0" applyNumberFormat="1" applyFont="1" applyFill="1" applyBorder="1" applyAlignment="1">
      <alignment/>
    </xf>
    <xf numFmtId="198" fontId="23" fillId="33" borderId="0" xfId="0" applyNumberFormat="1" applyFont="1" applyFill="1" applyAlignment="1">
      <alignment/>
    </xf>
    <xf numFmtId="198" fontId="23" fillId="33" borderId="1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 horizontal="right"/>
    </xf>
    <xf numFmtId="3" fontId="23" fillId="33" borderId="11" xfId="0" applyNumberFormat="1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198" fontId="23" fillId="33" borderId="0" xfId="0" applyNumberFormat="1" applyFont="1" applyFill="1" applyAlignment="1">
      <alignment horizontal="right"/>
    </xf>
    <xf numFmtId="198" fontId="15" fillId="33" borderId="0" xfId="0" applyNumberFormat="1" applyFont="1" applyFill="1" applyAlignment="1">
      <alignment horizontal="right"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15" fillId="33" borderId="0" xfId="0" applyNumberFormat="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INVERSIONES CIAS. SEGUROS DE VIDA</a:t>
            </a:r>
          </a:p>
        </c:rich>
      </c:tx>
      <c:layout>
        <c:manualLayout>
          <c:xMode val="factor"/>
          <c:yMode val="factor"/>
          <c:x val="0.01"/>
          <c:y val="-0.005"/>
        </c:manualLayout>
      </c:layout>
      <c:spPr>
        <a:noFill/>
        <a:ln>
          <a:noFill/>
        </a:ln>
      </c:spPr>
    </c:title>
    <c:view3D>
      <c:rotX val="15"/>
      <c:hPercent val="29"/>
      <c:rotY val="20"/>
      <c:depthPercent val="200"/>
      <c:rAngAx val="1"/>
    </c:view3D>
    <c:plotArea>
      <c:layout>
        <c:manualLayout>
          <c:xMode val="edge"/>
          <c:yMode val="edge"/>
          <c:x val="0"/>
          <c:y val="0.1935"/>
          <c:w val="0.9885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Hoja1!$A$1</c:f>
              <c:strCache>
                <c:ptCount val="1"/>
                <c:pt idx="0">
                  <c:v>INVERSIONES COMPAÑIAS DE SEGUROS DE VIDA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Hoja1!$B$5:$BH$5</c:f>
              <c:numCache/>
            </c:numRef>
          </c:cat>
          <c:val>
            <c:numRef>
              <c:f>Hoja1!$B$21:$BH$21</c:f>
              <c:numCache/>
            </c:numRef>
          </c:val>
          <c:shape val="box"/>
        </c:ser>
        <c:gapDepth val="0"/>
        <c:shape val="box"/>
        <c:axId val="58698060"/>
        <c:axId val="58520493"/>
      </c:bar3DChart>
      <c:catAx>
        <c:axId val="5869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520493"/>
        <c:crosses val="autoZero"/>
        <c:auto val="0"/>
        <c:lblOffset val="100"/>
        <c:tickLblSkip val="2"/>
        <c:noMultiLvlLbl val="0"/>
      </c:catAx>
      <c:valAx>
        <c:axId val="58520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Millones de US$ de cada año</a:t>
                </a:r>
              </a:p>
            </c:rich>
          </c:tx>
          <c:layout>
            <c:manualLayout>
              <c:xMode val="factor"/>
              <c:yMode val="factor"/>
              <c:x val="-0.078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980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blipFill>
      <a:blip r:embed="rId1"/>
      <a:srcRect/>
      <a:tile sx="100000" sy="100000" flip="none" algn="tl"/>
    </a:blipFill>
    <a:ln w="381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23</xdr:row>
      <xdr:rowOff>9525</xdr:rowOff>
    </xdr:from>
    <xdr:to>
      <xdr:col>21</xdr:col>
      <xdr:colOff>19050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523875" y="3657600"/>
        <a:ext cx="73818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10"/>
  <sheetViews>
    <sheetView tabSelected="1" zoomScalePageLayoutView="0" workbookViewId="0" topLeftCell="A25">
      <selection activeCell="BM11" sqref="BM11"/>
    </sheetView>
  </sheetViews>
  <sheetFormatPr defaultColWidth="9.8515625" defaultRowHeight="18" customHeight="1"/>
  <cols>
    <col min="1" max="1" width="25.57421875" style="5" customWidth="1"/>
    <col min="2" max="2" width="4.8515625" style="79" customWidth="1"/>
    <col min="3" max="3" width="4.28125" style="5" customWidth="1"/>
    <col min="4" max="4" width="4.8515625" style="79" customWidth="1"/>
    <col min="5" max="5" width="4.421875" style="5" customWidth="1"/>
    <col min="6" max="6" width="4.8515625" style="79" customWidth="1"/>
    <col min="7" max="7" width="4.421875" style="5" customWidth="1"/>
    <col min="8" max="8" width="4.8515625" style="79" customWidth="1"/>
    <col min="9" max="9" width="4.421875" style="5" customWidth="1"/>
    <col min="10" max="10" width="4.8515625" style="79" customWidth="1"/>
    <col min="11" max="11" width="4.421875" style="5" customWidth="1"/>
    <col min="12" max="12" width="4.8515625" style="79" customWidth="1"/>
    <col min="13" max="13" width="4.421875" style="5" customWidth="1"/>
    <col min="14" max="14" width="4.8515625" style="79" customWidth="1"/>
    <col min="15" max="15" width="4.421875" style="5" customWidth="1"/>
    <col min="16" max="16" width="4.8515625" style="80" customWidth="1"/>
    <col min="17" max="17" width="4.421875" style="5" customWidth="1"/>
    <col min="18" max="18" width="4.8515625" style="79" customWidth="1"/>
    <col min="19" max="19" width="4.421875" style="5" customWidth="1"/>
    <col min="20" max="20" width="4.8515625" style="79" customWidth="1"/>
    <col min="21" max="21" width="4.421875" style="5" customWidth="1"/>
    <col min="22" max="22" width="7.28125" style="79" customWidth="1"/>
    <col min="23" max="23" width="4.421875" style="5" customWidth="1"/>
    <col min="24" max="24" width="5.57421875" style="5" customWidth="1"/>
    <col min="25" max="25" width="4.57421875" style="29" customWidth="1"/>
    <col min="26" max="26" width="6.421875" style="5" customWidth="1"/>
    <col min="27" max="27" width="5.140625" style="5" customWidth="1"/>
    <col min="28" max="28" width="7.421875" style="5" customWidth="1"/>
    <col min="29" max="29" width="4.57421875" style="5" customWidth="1"/>
    <col min="30" max="30" width="6.00390625" style="5" customWidth="1"/>
    <col min="31" max="31" width="4.421875" style="5" customWidth="1"/>
    <col min="32" max="32" width="6.8515625" style="5" customWidth="1"/>
    <col min="33" max="33" width="6.140625" style="5" customWidth="1"/>
    <col min="34" max="34" width="6.57421875" style="5" customWidth="1"/>
    <col min="35" max="35" width="5.28125" style="5" customWidth="1"/>
    <col min="36" max="36" width="7.57421875" style="5" customWidth="1"/>
    <col min="37" max="37" width="6.140625" style="5" customWidth="1"/>
    <col min="38" max="38" width="9.8515625" style="5" customWidth="1"/>
    <col min="39" max="39" width="6.140625" style="5" customWidth="1"/>
    <col min="40" max="40" width="9.8515625" style="5" customWidth="1"/>
    <col min="41" max="41" width="7.57421875" style="5" customWidth="1"/>
    <col min="42" max="42" width="9.8515625" style="5" customWidth="1"/>
    <col min="43" max="43" width="7.8515625" style="5" customWidth="1"/>
    <col min="44" max="44" width="8.57421875" style="5" customWidth="1"/>
    <col min="45" max="45" width="6.8515625" style="5" customWidth="1"/>
    <col min="46" max="46" width="13.57421875" style="5" customWidth="1"/>
    <col min="47" max="47" width="13.421875" style="5" customWidth="1"/>
    <col min="48" max="48" width="13.57421875" style="5" customWidth="1"/>
    <col min="49" max="49" width="13.421875" style="5" customWidth="1"/>
    <col min="50" max="53" width="9.8515625" style="5" customWidth="1"/>
    <col min="54" max="57" width="9.7109375" style="5" customWidth="1"/>
    <col min="58" max="16384" width="9.8515625" style="5" customWidth="1"/>
  </cols>
  <sheetData>
    <row r="1" spans="1:27" ht="18" customHeight="1">
      <c r="A1" s="1" t="s">
        <v>18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4"/>
      <c r="Q1" s="3"/>
      <c r="R1" s="2"/>
      <c r="S1" s="3"/>
      <c r="T1" s="2"/>
      <c r="U1" s="3"/>
      <c r="V1" s="2"/>
      <c r="W1" s="3"/>
      <c r="Y1" s="6"/>
      <c r="Z1" s="7"/>
      <c r="AA1" s="7"/>
    </row>
    <row r="2" spans="1:31" ht="12.75">
      <c r="A2" s="8" t="s">
        <v>17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9"/>
      <c r="Q2" s="3"/>
      <c r="R2" s="10"/>
      <c r="S2" s="3"/>
      <c r="T2" s="10"/>
      <c r="U2" s="3"/>
      <c r="V2" s="10"/>
      <c r="W2" s="3"/>
      <c r="Y2" s="11"/>
      <c r="Z2" s="12"/>
      <c r="AA2" s="13"/>
      <c r="AD2" s="14"/>
      <c r="AE2" s="14"/>
    </row>
    <row r="3" spans="1:27" ht="12.75">
      <c r="A3" s="8" t="s">
        <v>1</v>
      </c>
      <c r="B3" s="15"/>
      <c r="C3" s="16"/>
      <c r="D3" s="2"/>
      <c r="E3" s="3"/>
      <c r="F3" s="2"/>
      <c r="G3" s="3"/>
      <c r="H3" s="2"/>
      <c r="I3" s="3"/>
      <c r="J3" s="2"/>
      <c r="K3" s="3"/>
      <c r="L3" s="2"/>
      <c r="M3" s="3"/>
      <c r="N3" s="10"/>
      <c r="O3" s="17"/>
      <c r="P3" s="9"/>
      <c r="Q3" s="17"/>
      <c r="R3" s="10"/>
      <c r="S3" s="17"/>
      <c r="T3" s="10"/>
      <c r="U3" s="17"/>
      <c r="V3" s="10"/>
      <c r="W3" s="17"/>
      <c r="Y3" s="18"/>
      <c r="Z3" s="19"/>
      <c r="AA3" s="7"/>
    </row>
    <row r="4" spans="1:27" ht="12.75">
      <c r="A4" s="20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21"/>
      <c r="O4" s="22"/>
      <c r="P4" s="21"/>
      <c r="Q4" s="22"/>
      <c r="R4" s="21"/>
      <c r="S4" s="22"/>
      <c r="T4" s="21"/>
      <c r="U4" s="22"/>
      <c r="V4" s="21"/>
      <c r="W4" s="22"/>
      <c r="Y4" s="18"/>
      <c r="Z4" s="23"/>
      <c r="AA4" s="7"/>
    </row>
    <row r="5" spans="1:61" s="30" customFormat="1" ht="12.75">
      <c r="A5" s="24"/>
      <c r="B5" s="98">
        <v>1991</v>
      </c>
      <c r="C5" s="91"/>
      <c r="D5" s="25">
        <v>1992</v>
      </c>
      <c r="E5" s="26"/>
      <c r="F5" s="25">
        <v>1993</v>
      </c>
      <c r="G5" s="26"/>
      <c r="H5" s="25">
        <v>1994</v>
      </c>
      <c r="I5" s="26"/>
      <c r="J5" s="25">
        <v>1995</v>
      </c>
      <c r="K5" s="26"/>
      <c r="L5" s="27">
        <v>1996</v>
      </c>
      <c r="M5" s="26"/>
      <c r="N5" s="25">
        <v>1997</v>
      </c>
      <c r="O5" s="26"/>
      <c r="P5" s="25">
        <v>1998</v>
      </c>
      <c r="Q5" s="26"/>
      <c r="R5" s="25">
        <v>1999</v>
      </c>
      <c r="S5" s="26"/>
      <c r="T5" s="25">
        <v>2000</v>
      </c>
      <c r="U5" s="26"/>
      <c r="V5" s="25">
        <v>2001</v>
      </c>
      <c r="W5" s="26"/>
      <c r="X5" s="28">
        <v>2002</v>
      </c>
      <c r="Y5" s="29"/>
      <c r="Z5" s="28">
        <v>2003</v>
      </c>
      <c r="AA5" s="29"/>
      <c r="AB5" s="28">
        <v>2004</v>
      </c>
      <c r="AC5" s="29"/>
      <c r="AD5" s="28">
        <v>2005</v>
      </c>
      <c r="AE5" s="29"/>
      <c r="AF5" s="28">
        <v>2006</v>
      </c>
      <c r="AG5" s="29"/>
      <c r="AH5" s="28">
        <v>2007</v>
      </c>
      <c r="AI5" s="29"/>
      <c r="AJ5" s="28">
        <v>2008</v>
      </c>
      <c r="AK5" s="29"/>
      <c r="AL5" s="28">
        <v>2009</v>
      </c>
      <c r="AM5" s="29"/>
      <c r="AN5" s="28">
        <v>2010</v>
      </c>
      <c r="AO5" s="29"/>
      <c r="AP5" s="28">
        <v>2011</v>
      </c>
      <c r="AQ5" s="29"/>
      <c r="AR5" s="28">
        <v>2012</v>
      </c>
      <c r="AS5" s="29"/>
      <c r="AT5" s="28">
        <v>2013</v>
      </c>
      <c r="AU5" s="29"/>
      <c r="AV5" s="28">
        <v>2014</v>
      </c>
      <c r="AW5" s="29"/>
      <c r="AX5" s="28">
        <v>2015</v>
      </c>
      <c r="AY5" s="29"/>
      <c r="AZ5" s="28">
        <v>2016</v>
      </c>
      <c r="BA5" s="29"/>
      <c r="BB5" s="28">
        <v>2017</v>
      </c>
      <c r="BC5" s="29"/>
      <c r="BD5" s="28">
        <v>2018</v>
      </c>
      <c r="BE5" s="29"/>
      <c r="BF5" s="28">
        <v>2019</v>
      </c>
      <c r="BG5" s="29"/>
      <c r="BH5" s="28">
        <v>2020</v>
      </c>
      <c r="BI5" s="29"/>
    </row>
    <row r="6" spans="1:61" s="30" customFormat="1" ht="12">
      <c r="A6" s="31"/>
      <c r="B6" s="99" t="s">
        <v>2</v>
      </c>
      <c r="C6" s="92" t="s">
        <v>3</v>
      </c>
      <c r="D6" s="32" t="s">
        <v>2</v>
      </c>
      <c r="E6" s="33" t="s">
        <v>3</v>
      </c>
      <c r="F6" s="32" t="s">
        <v>2</v>
      </c>
      <c r="G6" s="33" t="s">
        <v>3</v>
      </c>
      <c r="H6" s="32" t="s">
        <v>2</v>
      </c>
      <c r="I6" s="33" t="s">
        <v>3</v>
      </c>
      <c r="J6" s="32" t="s">
        <v>2</v>
      </c>
      <c r="K6" s="33" t="s">
        <v>3</v>
      </c>
      <c r="L6" s="32" t="s">
        <v>2</v>
      </c>
      <c r="M6" s="33" t="s">
        <v>3</v>
      </c>
      <c r="N6" s="32" t="s">
        <v>2</v>
      </c>
      <c r="O6" s="33" t="s">
        <v>3</v>
      </c>
      <c r="P6" s="32" t="s">
        <v>2</v>
      </c>
      <c r="Q6" s="33" t="s">
        <v>3</v>
      </c>
      <c r="R6" s="32" t="s">
        <v>2</v>
      </c>
      <c r="S6" s="33" t="s">
        <v>3</v>
      </c>
      <c r="T6" s="32" t="s">
        <v>2</v>
      </c>
      <c r="U6" s="33" t="s">
        <v>3</v>
      </c>
      <c r="V6" s="32" t="s">
        <v>2</v>
      </c>
      <c r="W6" s="33" t="s">
        <v>3</v>
      </c>
      <c r="X6" s="34" t="s">
        <v>2</v>
      </c>
      <c r="Y6" s="35" t="s">
        <v>3</v>
      </c>
      <c r="Z6" s="34" t="s">
        <v>2</v>
      </c>
      <c r="AA6" s="35" t="s">
        <v>3</v>
      </c>
      <c r="AB6" s="34" t="s">
        <v>2</v>
      </c>
      <c r="AC6" s="35" t="s">
        <v>3</v>
      </c>
      <c r="AD6" s="34" t="s">
        <v>2</v>
      </c>
      <c r="AE6" s="101" t="s">
        <v>3</v>
      </c>
      <c r="AF6" s="34" t="s">
        <v>2</v>
      </c>
      <c r="AG6" s="101" t="s">
        <v>3</v>
      </c>
      <c r="AH6" s="34" t="s">
        <v>2</v>
      </c>
      <c r="AI6" s="101" t="s">
        <v>3</v>
      </c>
      <c r="AJ6" s="34" t="s">
        <v>2</v>
      </c>
      <c r="AK6" s="101" t="s">
        <v>3</v>
      </c>
      <c r="AL6" s="34" t="s">
        <v>2</v>
      </c>
      <c r="AM6" s="101" t="s">
        <v>3</v>
      </c>
      <c r="AN6" s="34" t="s">
        <v>2</v>
      </c>
      <c r="AO6" s="101" t="s">
        <v>3</v>
      </c>
      <c r="AP6" s="34" t="s">
        <v>2</v>
      </c>
      <c r="AQ6" s="101" t="s">
        <v>3</v>
      </c>
      <c r="AR6" s="34" t="s">
        <v>2</v>
      </c>
      <c r="AS6" s="101" t="s">
        <v>3</v>
      </c>
      <c r="AT6" s="34" t="s">
        <v>2</v>
      </c>
      <c r="AU6" s="101" t="s">
        <v>3</v>
      </c>
      <c r="AV6" s="34" t="s">
        <v>2</v>
      </c>
      <c r="AW6" s="101" t="s">
        <v>3</v>
      </c>
      <c r="AX6" s="34" t="s">
        <v>2</v>
      </c>
      <c r="AY6" s="101" t="s">
        <v>3</v>
      </c>
      <c r="AZ6" s="34" t="s">
        <v>2</v>
      </c>
      <c r="BA6" s="101" t="s">
        <v>3</v>
      </c>
      <c r="BB6" s="34" t="s">
        <v>2</v>
      </c>
      <c r="BC6" s="101" t="s">
        <v>3</v>
      </c>
      <c r="BD6" s="34" t="s">
        <v>2</v>
      </c>
      <c r="BE6" s="101" t="s">
        <v>3</v>
      </c>
      <c r="BF6" s="34" t="s">
        <v>2</v>
      </c>
      <c r="BG6" s="101" t="s">
        <v>3</v>
      </c>
      <c r="BH6" s="34" t="s">
        <v>2</v>
      </c>
      <c r="BI6" s="101" t="s">
        <v>3</v>
      </c>
    </row>
    <row r="7" spans="1:61" s="30" customFormat="1" ht="12.75">
      <c r="A7" s="36"/>
      <c r="B7" s="93"/>
      <c r="C7" s="93"/>
      <c r="D7" s="37"/>
      <c r="E7" s="38"/>
      <c r="F7" s="37"/>
      <c r="G7" s="38"/>
      <c r="H7" s="37"/>
      <c r="I7" s="38"/>
      <c r="J7" s="37"/>
      <c r="K7" s="38"/>
      <c r="L7" s="37"/>
      <c r="M7" s="38"/>
      <c r="N7" s="37"/>
      <c r="O7" s="38"/>
      <c r="P7" s="37"/>
      <c r="Q7" s="38"/>
      <c r="R7" s="37"/>
      <c r="S7" s="38"/>
      <c r="T7" s="37"/>
      <c r="U7" s="38"/>
      <c r="V7" s="37"/>
      <c r="W7" s="38"/>
      <c r="X7" s="39"/>
      <c r="Y7" s="40"/>
      <c r="Z7" s="39"/>
      <c r="AA7" s="39"/>
      <c r="AB7" s="39"/>
      <c r="AC7" s="39"/>
      <c r="AD7" s="100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</row>
    <row r="8" spans="1:61" ht="12.75" customHeight="1">
      <c r="A8" s="41" t="s">
        <v>4</v>
      </c>
      <c r="B8" s="49">
        <v>895</v>
      </c>
      <c r="C8" s="94">
        <v>0.383</v>
      </c>
      <c r="D8" s="42">
        <v>1269.0915576258767</v>
      </c>
      <c r="E8" s="43">
        <v>0.4094743154152091</v>
      </c>
      <c r="F8" s="42">
        <v>1638.8648540154502</v>
      </c>
      <c r="G8" s="43">
        <v>0.42435643755764435</v>
      </c>
      <c r="H8" s="42">
        <v>2182.9129504616303</v>
      </c>
      <c r="I8" s="43">
        <v>0.4006323281817295</v>
      </c>
      <c r="J8" s="42">
        <v>2686.3377380747584</v>
      </c>
      <c r="K8" s="43">
        <v>0.403268307320655</v>
      </c>
      <c r="L8" s="44">
        <v>3120.2582652893147</v>
      </c>
      <c r="M8" s="43">
        <v>0.3888826949630489</v>
      </c>
      <c r="N8" s="42">
        <v>3609.590095177376</v>
      </c>
      <c r="O8" s="43">
        <v>0.3843201829392837</v>
      </c>
      <c r="P8" s="42">
        <v>3748.273374822717</v>
      </c>
      <c r="Q8" s="43">
        <v>0.37309579650258495</v>
      </c>
      <c r="R8" s="42">
        <v>3548.736227290735</v>
      </c>
      <c r="S8" s="43">
        <v>0.33180177863414123</v>
      </c>
      <c r="T8" s="42">
        <v>3419.3154275254947</v>
      </c>
      <c r="U8" s="43">
        <f>T8/$T$21</f>
        <v>0.28651625769168754</v>
      </c>
      <c r="V8" s="42">
        <v>2650.067991264375</v>
      </c>
      <c r="W8" s="43">
        <f>(V8/$V$21)</f>
        <v>0.21909343334797102</v>
      </c>
      <c r="X8" s="45">
        <f>1682703321/718.61/1000</f>
        <v>2341.608551230848</v>
      </c>
      <c r="Y8" s="46">
        <f>X8/X$21</f>
        <v>0.18894987054854545</v>
      </c>
      <c r="Z8" s="45">
        <v>2918.1316082856183</v>
      </c>
      <c r="AA8" s="46">
        <f>Z8/$Z$21</f>
        <v>0.17629948077869653</v>
      </c>
      <c r="AB8" s="45">
        <v>3340.588823107284</v>
      </c>
      <c r="AC8" s="46">
        <f>AB8/$AB$21</f>
        <v>0.1703387728411587</v>
      </c>
      <c r="AD8" s="49">
        <f>1804266333/512.5/1000</f>
        <v>3520.5196741463415</v>
      </c>
      <c r="AE8" s="102">
        <f>AD8/AD$21</f>
        <v>0.1495262771344409</v>
      </c>
      <c r="AF8" s="45">
        <f>1599444057/532.39/1000</f>
        <v>3004.27141193486</v>
      </c>
      <c r="AG8" s="102">
        <f aca="true" t="shared" si="0" ref="AG8:AG13">AF8/$AF$21</f>
        <v>0.12143495482847178</v>
      </c>
      <c r="AH8" s="45">
        <f>1731460880/496.89/1000</f>
        <v>3484.5959467890275</v>
      </c>
      <c r="AI8" s="102">
        <f aca="true" t="shared" si="1" ref="AI8:AI13">AH8/$AH$21</f>
        <v>0.11637550624936786</v>
      </c>
      <c r="AJ8" s="45">
        <f>1535363901/636.45/1000</f>
        <v>2412.3873061513077</v>
      </c>
      <c r="AK8" s="102">
        <f>AJ8/$AJ$21</f>
        <v>0.09020630036706255</v>
      </c>
      <c r="AL8" s="45">
        <f>1611647442/507.1/1000</f>
        <v>3178.16494182607</v>
      </c>
      <c r="AM8" s="102">
        <f>AL8/$AL$21</f>
        <v>0.09140168334601931</v>
      </c>
      <c r="AN8" s="45">
        <v>3425.1486720369226</v>
      </c>
      <c r="AO8" s="102">
        <f>AN8/$AN$21</f>
        <v>0.08334211180683751</v>
      </c>
      <c r="AP8" s="45">
        <v>2560.344564714946</v>
      </c>
      <c r="AQ8" s="102">
        <f>AP8/$AP$21</f>
        <v>0.06307319685830906</v>
      </c>
      <c r="AR8" s="45">
        <v>2570.4886136344694</v>
      </c>
      <c r="AS8" s="102">
        <f>AR8/$AR$21</f>
        <v>0.05382463717155063</v>
      </c>
      <c r="AT8" s="45">
        <v>2091.130798116696</v>
      </c>
      <c r="AU8" s="102">
        <f>AT8/$AT$21</f>
        <v>0.04400567136696267</v>
      </c>
      <c r="AV8" s="45">
        <v>1640.2110885867326</v>
      </c>
      <c r="AW8" s="102">
        <f>AV8/$AV$21</f>
        <v>0.03542102294860211</v>
      </c>
      <c r="AX8" s="45">
        <v>1311.8516869437874</v>
      </c>
      <c r="AY8" s="102">
        <f>AX8/$AX$21</f>
        <v>0.029354801992342774</v>
      </c>
      <c r="AZ8" s="45">
        <v>1364.0963627944493</v>
      </c>
      <c r="BA8" s="102">
        <f>AZ8/$AZ$21</f>
        <v>0.025838422337886035</v>
      </c>
      <c r="BB8" s="45">
        <v>1604.5875591703943</v>
      </c>
      <c r="BC8" s="102">
        <f>BB8/$BB$21</f>
        <v>0.0256671393608381</v>
      </c>
      <c r="BD8" s="45">
        <v>1217.1330613008622</v>
      </c>
      <c r="BE8" s="102">
        <f>BD8/$BD$21</f>
        <v>0.020363074452483663</v>
      </c>
      <c r="BF8" s="45">
        <v>1179.9509883270562</v>
      </c>
      <c r="BG8" s="102">
        <f>BF8/$BF$21</f>
        <v>0.019498818982473465</v>
      </c>
      <c r="BH8" s="45">
        <v>1288.843734439834</v>
      </c>
      <c r="BI8" s="102">
        <f>BH8/$BH$21</f>
        <v>0.019458561762733684</v>
      </c>
    </row>
    <row r="9" spans="1:61" ht="12.75" customHeight="1">
      <c r="A9" s="47" t="s">
        <v>5</v>
      </c>
      <c r="B9" s="96">
        <v>325</v>
      </c>
      <c r="C9" s="95">
        <v>0.139</v>
      </c>
      <c r="D9" s="42">
        <v>410.6556395896577</v>
      </c>
      <c r="E9" s="43">
        <v>0.13249866479841543</v>
      </c>
      <c r="F9" s="42">
        <v>599.7616472565173</v>
      </c>
      <c r="G9" s="43">
        <v>0.15529817201820403</v>
      </c>
      <c r="H9" s="42">
        <v>897.6455673582844</v>
      </c>
      <c r="I9" s="43">
        <v>0.16474584268543888</v>
      </c>
      <c r="J9" s="42">
        <v>1239.6916123958615</v>
      </c>
      <c r="K9" s="43">
        <v>0.1861003294726376</v>
      </c>
      <c r="L9" s="44">
        <v>1708.8977221921548</v>
      </c>
      <c r="M9" s="43">
        <v>0.2129826107713817</v>
      </c>
      <c r="N9" s="42">
        <v>2181.539357438863</v>
      </c>
      <c r="O9" s="43">
        <v>0.23227280185091256</v>
      </c>
      <c r="P9" s="42">
        <v>2431.9391058614337</v>
      </c>
      <c r="Q9" s="43">
        <v>0.2420704593858688</v>
      </c>
      <c r="R9" s="42">
        <v>2683.2438489256133</v>
      </c>
      <c r="S9" s="43">
        <v>0.25087947499054797</v>
      </c>
      <c r="T9" s="42">
        <v>2883.709751590691</v>
      </c>
      <c r="U9" s="43">
        <f aca="true" t="shared" si="2" ref="U9:U19">T9/$T$21</f>
        <v>0.241636006916367</v>
      </c>
      <c r="V9" s="42">
        <v>2663.643430718246</v>
      </c>
      <c r="W9" s="43">
        <f aca="true" t="shared" si="3" ref="W9:W19">(V9/$V$21)</f>
        <v>0.22021577800062161</v>
      </c>
      <c r="X9" s="45">
        <f>1831506448/718.61/1000</f>
        <v>2548.6793225810943</v>
      </c>
      <c r="Y9" s="46">
        <f aca="true" t="shared" si="4" ref="Y9:Y19">X9/X$21</f>
        <v>0.20565889538553206</v>
      </c>
      <c r="Z9" s="45">
        <v>3106.0534338160996</v>
      </c>
      <c r="AA9" s="46">
        <f aca="true" t="shared" si="5" ref="AA9:AA19">Z9/$Z$21</f>
        <v>0.187652813909368</v>
      </c>
      <c r="AB9" s="45">
        <v>2909.084969501256</v>
      </c>
      <c r="AC9" s="46">
        <f aca="true" t="shared" si="6" ref="AC9:AC19">AB9/$AB$21</f>
        <v>0.14833611379163422</v>
      </c>
      <c r="AD9" s="49">
        <f>1436391904/512.5/1000</f>
        <v>2802.7159102439023</v>
      </c>
      <c r="AE9" s="102">
        <f aca="true" t="shared" si="7" ref="AE9:AE19">AD9/AD$21</f>
        <v>0.11903915180529569</v>
      </c>
      <c r="AF9" s="45">
        <f>1474785435/532.39/1000</f>
        <v>2770.122344521873</v>
      </c>
      <c r="AG9" s="102">
        <f t="shared" si="0"/>
        <v>0.11197046992492159</v>
      </c>
      <c r="AH9" s="45">
        <f>1451535184/496.89/1000</f>
        <v>2921.240483809294</v>
      </c>
      <c r="AI9" s="102">
        <f t="shared" si="1"/>
        <v>0.09756105022526952</v>
      </c>
      <c r="AJ9" s="45">
        <f>1338011158/636.45/1000</f>
        <v>2102.3036499332234</v>
      </c>
      <c r="AK9" s="102">
        <f aca="true" t="shared" si="8" ref="AK9:AK19">AJ9/$AJ$21</f>
        <v>0.07861135482892222</v>
      </c>
      <c r="AL9" s="45">
        <f>1107649917/507.1/1000</f>
        <v>2184.2830151843814</v>
      </c>
      <c r="AM9" s="102">
        <f aca="true" t="shared" si="9" ref="AM9:AM19">AL9/$AL$21</f>
        <v>0.06281837102427426</v>
      </c>
      <c r="AN9" s="45">
        <v>2150.45846028931</v>
      </c>
      <c r="AO9" s="102">
        <f aca="true" t="shared" si="10" ref="AO9:AO19">AN9/$AN$21</f>
        <v>0.05232583067023706</v>
      </c>
      <c r="AP9" s="45">
        <v>1709.7175288906008</v>
      </c>
      <c r="AQ9" s="102">
        <f aca="true" t="shared" si="11" ref="AQ9:AQ19">AP9/$AP$21</f>
        <v>0.04211829601295268</v>
      </c>
      <c r="AR9" s="45">
        <v>1681.5499708309028</v>
      </c>
      <c r="AS9" s="102">
        <f aca="true" t="shared" si="12" ref="AS9:AS19">AR9/$AR$21</f>
        <v>0.03521074420860107</v>
      </c>
      <c r="AT9" s="45">
        <v>1288.9253426354817</v>
      </c>
      <c r="AU9" s="102">
        <f aca="true" t="shared" si="13" ref="AU9:AU19">AT9/$AT$21</f>
        <v>0.027124092426762437</v>
      </c>
      <c r="AV9" s="45">
        <v>1000.1337948084055</v>
      </c>
      <c r="AW9" s="102">
        <f aca="true" t="shared" si="14" ref="AW9:AW19">AV9/$AV$21</f>
        <v>0.021598294478124284</v>
      </c>
      <c r="AX9" s="45">
        <v>728.199642334122</v>
      </c>
      <c r="AY9" s="102">
        <f aca="true" t="shared" si="15" ref="AY9:AY19">AX9/$AX$21</f>
        <v>0.016294644070179057</v>
      </c>
      <c r="AZ9" s="45">
        <v>675.7171180187313</v>
      </c>
      <c r="BA9" s="102">
        <f aca="true" t="shared" si="16" ref="BA9:BA19">AZ9/$AZ$21</f>
        <v>0.012799289516863894</v>
      </c>
      <c r="BB9" s="45">
        <v>632.794405856039</v>
      </c>
      <c r="BC9" s="102">
        <f aca="true" t="shared" si="17" ref="BC9:BC19">BB9/$BB$21</f>
        <v>0.010122241138565954</v>
      </c>
      <c r="BD9" s="45">
        <v>477.4311685881659</v>
      </c>
      <c r="BE9" s="102">
        <f aca="true" t="shared" si="18" ref="BE9:BE19">BD9/$BD$21</f>
        <v>0.007987595391999575</v>
      </c>
      <c r="BF9" s="45">
        <v>386.8204730614098</v>
      </c>
      <c r="BG9" s="102">
        <f aca="true" t="shared" si="19" ref="BG9:BG19">BF9/$BF$21</f>
        <v>0.00639225057443535</v>
      </c>
      <c r="BH9" s="45">
        <v>349.53325972290594</v>
      </c>
      <c r="BI9" s="102">
        <f aca="true" t="shared" si="20" ref="BI9:BI19">BH9/$BH$21</f>
        <v>0.005277144420773304</v>
      </c>
    </row>
    <row r="10" spans="1:61" ht="12.75" customHeight="1">
      <c r="A10" s="41" t="s">
        <v>6</v>
      </c>
      <c r="B10" s="49">
        <v>92</v>
      </c>
      <c r="C10" s="94">
        <v>0.04</v>
      </c>
      <c r="D10" s="42">
        <v>93.2699675494609</v>
      </c>
      <c r="E10" s="43">
        <v>0.030093696456826503</v>
      </c>
      <c r="F10" s="42">
        <v>109.66781104861484</v>
      </c>
      <c r="G10" s="43">
        <v>0.028396631666918602</v>
      </c>
      <c r="H10" s="42">
        <v>108.8618956616698</v>
      </c>
      <c r="I10" s="43">
        <v>0.019979539129120163</v>
      </c>
      <c r="J10" s="42">
        <v>128.2735690939028</v>
      </c>
      <c r="K10" s="43">
        <v>0.019256203101085164</v>
      </c>
      <c r="L10" s="44">
        <v>200.3231310445443</v>
      </c>
      <c r="M10" s="43">
        <v>0.02496658687860737</v>
      </c>
      <c r="N10" s="42">
        <v>114.47262625802631</v>
      </c>
      <c r="O10" s="43">
        <v>0.012188126492203</v>
      </c>
      <c r="P10" s="42">
        <v>154.65175800681612</v>
      </c>
      <c r="Q10" s="43">
        <v>0.015393733344438125</v>
      </c>
      <c r="R10" s="42">
        <v>175.10688776953984</v>
      </c>
      <c r="S10" s="43">
        <v>0.016372244396811376</v>
      </c>
      <c r="T10" s="42">
        <v>189.23993027107122</v>
      </c>
      <c r="U10" s="43">
        <f t="shared" si="2"/>
        <v>0.01585706781849653</v>
      </c>
      <c r="V10" s="42">
        <v>194.8852441240703</v>
      </c>
      <c r="W10" s="43">
        <f t="shared" si="3"/>
        <v>0.016112068590220723</v>
      </c>
      <c r="X10" s="45">
        <f>166939791/718.61/1000</f>
        <v>232.309306856292</v>
      </c>
      <c r="Y10" s="46">
        <f t="shared" si="4"/>
        <v>0.018745581294809386</v>
      </c>
      <c r="Z10" s="45">
        <v>195.01640451330414</v>
      </c>
      <c r="AA10" s="46">
        <f t="shared" si="5"/>
        <v>0.011781953480577437</v>
      </c>
      <c r="AB10" s="45">
        <v>347.35862935055616</v>
      </c>
      <c r="AC10" s="46">
        <f t="shared" si="6"/>
        <v>0.017712039940409156</v>
      </c>
      <c r="AD10" s="49">
        <f>312721231/512.5/1000</f>
        <v>610.187767804878</v>
      </c>
      <c r="AE10" s="102">
        <f t="shared" si="7"/>
        <v>0.02591637420545357</v>
      </c>
      <c r="AF10" s="45">
        <f>390428215/532.39/1000</f>
        <v>733.3500159657394</v>
      </c>
      <c r="AG10" s="102">
        <f t="shared" si="0"/>
        <v>0.029642570144787418</v>
      </c>
      <c r="AH10" s="45">
        <f>323402101/496.89/1000</f>
        <v>650.8525045784781</v>
      </c>
      <c r="AI10" s="102">
        <f t="shared" si="1"/>
        <v>0.021736606157676634</v>
      </c>
      <c r="AJ10" s="45">
        <f>326777010/636.45/1000</f>
        <v>513.4370492576007</v>
      </c>
      <c r="AK10" s="102">
        <f t="shared" si="8"/>
        <v>0.019198930688621555</v>
      </c>
      <c r="AL10" s="45">
        <f>303484821/507.1/1000</f>
        <v>598.4713488463814</v>
      </c>
      <c r="AM10" s="102">
        <f t="shared" si="9"/>
        <v>0.017211595282242472</v>
      </c>
      <c r="AN10" s="45">
        <v>1007.3937522702507</v>
      </c>
      <c r="AO10" s="102">
        <f t="shared" si="10"/>
        <v>0.02451231487282773</v>
      </c>
      <c r="AP10" s="45">
        <v>1013.15812788906</v>
      </c>
      <c r="AQ10" s="102">
        <f t="shared" si="11"/>
        <v>0.024958797706220903</v>
      </c>
      <c r="AR10" s="45">
        <v>1009.1713267772316</v>
      </c>
      <c r="AS10" s="102">
        <f t="shared" si="12"/>
        <v>0.021131500143435785</v>
      </c>
      <c r="AT10" s="45">
        <v>1089.884354091611</v>
      </c>
      <c r="AU10" s="102">
        <f t="shared" si="13"/>
        <v>0.022935481968580966</v>
      </c>
      <c r="AV10" s="45">
        <v>1029.0358516687268</v>
      </c>
      <c r="AW10" s="102">
        <f t="shared" si="14"/>
        <v>0.022222446104969665</v>
      </c>
      <c r="AX10" s="45">
        <v>959.823366565281</v>
      </c>
      <c r="AY10" s="102">
        <f t="shared" si="15"/>
        <v>0.021477599299954225</v>
      </c>
      <c r="AZ10" s="45">
        <v>1031.1647108907046</v>
      </c>
      <c r="BA10" s="102">
        <f t="shared" si="16"/>
        <v>0.01953210200292354</v>
      </c>
      <c r="BB10" s="45">
        <v>1210.3475412769417</v>
      </c>
      <c r="BC10" s="102">
        <f t="shared" si="17"/>
        <v>0.0193608375183121</v>
      </c>
      <c r="BD10" s="45">
        <v>1117.5376685809692</v>
      </c>
      <c r="BE10" s="102">
        <f t="shared" si="18"/>
        <v>0.01869680766410808</v>
      </c>
      <c r="BF10" s="45">
        <v>1001.0535406148997</v>
      </c>
      <c r="BG10" s="102">
        <f t="shared" si="19"/>
        <v>0.016542519115890386</v>
      </c>
      <c r="BH10" s="45">
        <v>955.0785807722062</v>
      </c>
      <c r="BI10" s="102">
        <f t="shared" si="20"/>
        <v>0.014419479301963098</v>
      </c>
    </row>
    <row r="11" spans="1:61" ht="12.75" customHeight="1">
      <c r="A11" s="41" t="s">
        <v>7</v>
      </c>
      <c r="B11" s="49">
        <v>208</v>
      </c>
      <c r="C11" s="94">
        <v>0.089</v>
      </c>
      <c r="D11" s="42">
        <v>292.48388987752537</v>
      </c>
      <c r="E11" s="43">
        <v>0.09437037056776582</v>
      </c>
      <c r="F11" s="42">
        <v>343.2158960954092</v>
      </c>
      <c r="G11" s="43">
        <v>0.08886997278839041</v>
      </c>
      <c r="H11" s="42">
        <v>620.8063287997617</v>
      </c>
      <c r="I11" s="43">
        <v>0.11393724372032513</v>
      </c>
      <c r="J11" s="42">
        <v>682.4262637929762</v>
      </c>
      <c r="K11" s="43">
        <v>0.10244463321584536</v>
      </c>
      <c r="L11" s="44">
        <v>570.8566557639363</v>
      </c>
      <c r="M11" s="43">
        <v>0.07114676281788143</v>
      </c>
      <c r="N11" s="42">
        <v>558.2189785509358</v>
      </c>
      <c r="O11" s="43">
        <v>0.05943467659762998</v>
      </c>
      <c r="P11" s="42">
        <v>348.5439956817171</v>
      </c>
      <c r="Q11" s="43">
        <v>0.03469338724292337</v>
      </c>
      <c r="R11" s="42">
        <v>384.34307921595257</v>
      </c>
      <c r="S11" s="43">
        <v>0.03593553003710692</v>
      </c>
      <c r="T11" s="42">
        <v>410.24710886429006</v>
      </c>
      <c r="U11" s="43">
        <f t="shared" si="2"/>
        <v>0.03437602316955426</v>
      </c>
      <c r="V11" s="42">
        <v>380.34536263534875</v>
      </c>
      <c r="W11" s="43">
        <f t="shared" si="3"/>
        <v>0.0314449182558518</v>
      </c>
      <c r="X11" s="45">
        <f>239074277/718.61/1000</f>
        <v>332.68988324682374</v>
      </c>
      <c r="Y11" s="46">
        <f t="shared" si="4"/>
        <v>0.02684552477366692</v>
      </c>
      <c r="Z11" s="45">
        <v>488.1100454698552</v>
      </c>
      <c r="AA11" s="46">
        <f t="shared" si="5"/>
        <v>0.02948926201096094</v>
      </c>
      <c r="AB11" s="45">
        <v>665.7536329386436</v>
      </c>
      <c r="AC11" s="46">
        <f t="shared" si="6"/>
        <v>0.03394720597305602</v>
      </c>
      <c r="AD11" s="49">
        <f>424521363/512.5/1000</f>
        <v>828.3343668292683</v>
      </c>
      <c r="AE11" s="102">
        <f t="shared" si="7"/>
        <v>0.03518166792365048</v>
      </c>
      <c r="AF11" s="45">
        <f>511364616/532.39/1000</f>
        <v>960.5075527338981</v>
      </c>
      <c r="AG11" s="102">
        <f t="shared" si="0"/>
        <v>0.03882445201697905</v>
      </c>
      <c r="AH11" s="45">
        <f>555603123/496.89/1000</f>
        <v>1118.1612087182275</v>
      </c>
      <c r="AI11" s="102">
        <f t="shared" si="1"/>
        <v>0.037343376024097534</v>
      </c>
      <c r="AJ11" s="45">
        <f>348584646/636.45/1000</f>
        <v>547.7015413622437</v>
      </c>
      <c r="AK11" s="102">
        <f t="shared" si="8"/>
        <v>0.020480181447500485</v>
      </c>
      <c r="AL11" s="45">
        <f>417919079/507.1/1000</f>
        <v>824.1354348254781</v>
      </c>
      <c r="AM11" s="102">
        <f t="shared" si="9"/>
        <v>0.023701528217371762</v>
      </c>
      <c r="AN11" s="45">
        <v>1011.3625884062307</v>
      </c>
      <c r="AO11" s="102">
        <f t="shared" si="10"/>
        <v>0.024608886209333</v>
      </c>
      <c r="AP11" s="45">
        <v>887.9967122496148</v>
      </c>
      <c r="AQ11" s="102">
        <f t="shared" si="11"/>
        <v>0.021875489812242077</v>
      </c>
      <c r="AR11" s="45">
        <v>996.8291253437786</v>
      </c>
      <c r="AS11" s="102">
        <f t="shared" si="12"/>
        <v>0.020873061140621256</v>
      </c>
      <c r="AT11" s="45">
        <v>805.9607022359467</v>
      </c>
      <c r="AU11" s="102">
        <f t="shared" si="13"/>
        <v>0.016960604199997197</v>
      </c>
      <c r="AV11" s="45">
        <v>529.4290004120313</v>
      </c>
      <c r="AW11" s="102">
        <f t="shared" si="14"/>
        <v>0.011433233748839155</v>
      </c>
      <c r="AX11" s="45">
        <v>448.12396361383355</v>
      </c>
      <c r="AY11" s="102">
        <f t="shared" si="15"/>
        <v>0.010027498040235071</v>
      </c>
      <c r="AZ11" s="45">
        <v>593.2474360314875</v>
      </c>
      <c r="BA11" s="102">
        <f t="shared" si="16"/>
        <v>0.011237166391711443</v>
      </c>
      <c r="BB11" s="45">
        <v>700.6967791785279</v>
      </c>
      <c r="BC11" s="102">
        <f t="shared" si="17"/>
        <v>0.01120841413613118</v>
      </c>
      <c r="BD11" s="45">
        <v>624.5063877254344</v>
      </c>
      <c r="BE11" s="102">
        <f t="shared" si="18"/>
        <v>0.010448216775668685</v>
      </c>
      <c r="BF11" s="45">
        <v>545.2932713625557</v>
      </c>
      <c r="BG11" s="102">
        <f t="shared" si="19"/>
        <v>0.00901103087826911</v>
      </c>
      <c r="BH11" s="45">
        <v>586.9021196989942</v>
      </c>
      <c r="BI11" s="102">
        <f t="shared" si="20"/>
        <v>0.00886086562682151</v>
      </c>
    </row>
    <row r="12" spans="1:61" ht="12.75" customHeight="1">
      <c r="A12" s="41" t="s">
        <v>8</v>
      </c>
      <c r="B12" s="49">
        <v>470</v>
      </c>
      <c r="C12" s="94">
        <v>0.201</v>
      </c>
      <c r="D12" s="42">
        <v>543.3223018946927</v>
      </c>
      <c r="E12" s="43">
        <v>0.1753037645560716</v>
      </c>
      <c r="F12" s="42">
        <v>565.4285480897145</v>
      </c>
      <c r="G12" s="43">
        <v>0.1464081945334587</v>
      </c>
      <c r="H12" s="42">
        <v>719.9609029087659</v>
      </c>
      <c r="I12" s="43">
        <v>0.13213518783291903</v>
      </c>
      <c r="J12" s="42">
        <v>713.0108377773955</v>
      </c>
      <c r="K12" s="43">
        <v>0.1070359357933312</v>
      </c>
      <c r="L12" s="44">
        <v>684.6838129750336</v>
      </c>
      <c r="M12" s="43">
        <v>0.08533322044180822</v>
      </c>
      <c r="N12" s="42">
        <v>605.4597773122638</v>
      </c>
      <c r="O12" s="43">
        <v>0.06446449769737435</v>
      </c>
      <c r="P12" s="42">
        <v>686.7767532440041</v>
      </c>
      <c r="Q12" s="43">
        <v>0.06836041402213629</v>
      </c>
      <c r="R12" s="42">
        <v>733.0726281434527</v>
      </c>
      <c r="S12" s="43">
        <v>0.06854124575826771</v>
      </c>
      <c r="T12" s="42">
        <v>1276.1134576832565</v>
      </c>
      <c r="U12" s="43">
        <f t="shared" si="2"/>
        <v>0.10692995719029207</v>
      </c>
      <c r="V12" s="42">
        <v>2453.0490936025294</v>
      </c>
      <c r="W12" s="43">
        <f t="shared" si="3"/>
        <v>0.20280496570659115</v>
      </c>
      <c r="X12" s="45">
        <f>2170594842/718.61/1000</f>
        <v>3020.546390949193</v>
      </c>
      <c r="Y12" s="46">
        <f t="shared" si="4"/>
        <v>0.2437349527339766</v>
      </c>
      <c r="Z12" s="45">
        <v>4856.150518693164</v>
      </c>
      <c r="AA12" s="46">
        <f t="shared" si="5"/>
        <v>0.29338526494073275</v>
      </c>
      <c r="AB12" s="45">
        <v>6516.8432813060645</v>
      </c>
      <c r="AC12" s="46">
        <f t="shared" si="6"/>
        <v>0.33229803071162783</v>
      </c>
      <c r="AD12" s="49">
        <f>4203988805/512.5/1000</f>
        <v>8202.904985365854</v>
      </c>
      <c r="AE12" s="102">
        <f t="shared" si="7"/>
        <v>0.3484002243068607</v>
      </c>
      <c r="AF12" s="45">
        <f>4361274543/532.39/1000</f>
        <v>8191.879154379309</v>
      </c>
      <c r="AG12" s="102">
        <f t="shared" si="0"/>
        <v>0.331122038814621</v>
      </c>
      <c r="AH12" s="45">
        <f>4652648255/496.89/1000</f>
        <v>9363.537714584718</v>
      </c>
      <c r="AI12" s="102">
        <f t="shared" si="1"/>
        <v>0.31271529280861554</v>
      </c>
      <c r="AJ12" s="45">
        <f>5685529980/636.45/1000</f>
        <v>8933.191892528872</v>
      </c>
      <c r="AK12" s="102">
        <f t="shared" si="8"/>
        <v>0.3340384809020069</v>
      </c>
      <c r="AL12" s="45">
        <f>5898089713/507.1/1000</f>
        <v>11631.018956813252</v>
      </c>
      <c r="AM12" s="102">
        <f t="shared" si="9"/>
        <v>0.3344995401879215</v>
      </c>
      <c r="AN12" s="45">
        <v>12846.220877759022</v>
      </c>
      <c r="AO12" s="102">
        <f t="shared" si="10"/>
        <v>0.312579475872159</v>
      </c>
      <c r="AP12" s="45">
        <v>13413.518513097071</v>
      </c>
      <c r="AQ12" s="102">
        <f t="shared" si="11"/>
        <v>0.3304373580800978</v>
      </c>
      <c r="AR12" s="45">
        <v>15912.853148179016</v>
      </c>
      <c r="AS12" s="102">
        <f t="shared" si="12"/>
        <v>0.3332065127702993</v>
      </c>
      <c r="AT12" s="45">
        <v>15475.477590972341</v>
      </c>
      <c r="AU12" s="102">
        <f t="shared" si="13"/>
        <v>0.32566532027955913</v>
      </c>
      <c r="AV12" s="45">
        <v>14831.549686032138</v>
      </c>
      <c r="AW12" s="102">
        <f t="shared" si="14"/>
        <v>0.32029332410192213</v>
      </c>
      <c r="AX12" s="45">
        <v>14554.582372986371</v>
      </c>
      <c r="AY12" s="102">
        <f t="shared" si="15"/>
        <v>0.3256823068433991</v>
      </c>
      <c r="AZ12" s="45">
        <v>16912.597206745635</v>
      </c>
      <c r="BA12" s="102">
        <f t="shared" si="16"/>
        <v>0.320354808778487</v>
      </c>
      <c r="BB12" s="45">
        <v>18974.931572183814</v>
      </c>
      <c r="BC12" s="102">
        <f t="shared" si="17"/>
        <v>0.30352485923386735</v>
      </c>
      <c r="BD12" s="45">
        <v>18113.855861652057</v>
      </c>
      <c r="BE12" s="102">
        <f t="shared" si="18"/>
        <v>0.3030513320689444</v>
      </c>
      <c r="BF12" s="45">
        <v>17692.716123086782</v>
      </c>
      <c r="BG12" s="102">
        <f t="shared" si="19"/>
        <v>0.29237406672414784</v>
      </c>
      <c r="BH12" s="45">
        <v>19925.623086011674</v>
      </c>
      <c r="BI12" s="102">
        <f t="shared" si="20"/>
        <v>0.30083085879191207</v>
      </c>
    </row>
    <row r="13" spans="1:61" ht="12.75" customHeight="1">
      <c r="A13" s="47" t="s">
        <v>9</v>
      </c>
      <c r="B13" s="96">
        <v>50</v>
      </c>
      <c r="C13" s="95">
        <v>0.021</v>
      </c>
      <c r="D13" s="42">
        <v>72.9387208206846</v>
      </c>
      <c r="E13" s="43">
        <v>0.023533788871137874</v>
      </c>
      <c r="F13" s="42">
        <v>81.87042500058347</v>
      </c>
      <c r="G13" s="43">
        <v>0.02119896696146391</v>
      </c>
      <c r="H13" s="42">
        <v>114.26982279360666</v>
      </c>
      <c r="I13" s="43">
        <v>0.020972061729275536</v>
      </c>
      <c r="J13" s="42">
        <v>124.88573394608144</v>
      </c>
      <c r="K13" s="43">
        <v>0.018747627233583683</v>
      </c>
      <c r="L13" s="44">
        <v>308.17586653175516</v>
      </c>
      <c r="M13" s="43">
        <v>0.03840844292686448</v>
      </c>
      <c r="N13" s="42">
        <v>499.1190149824673</v>
      </c>
      <c r="O13" s="43">
        <v>0.053142186810303395</v>
      </c>
      <c r="P13" s="42">
        <v>525.2517347219576</v>
      </c>
      <c r="Q13" s="43">
        <v>0.052282529776719405</v>
      </c>
      <c r="R13" s="42">
        <v>840.6398400211292</v>
      </c>
      <c r="S13" s="43">
        <v>0.07859862673498141</v>
      </c>
      <c r="T13" s="42">
        <v>1097.3177756471716</v>
      </c>
      <c r="U13" s="43">
        <f t="shared" si="2"/>
        <v>0.0919480490293697</v>
      </c>
      <c r="V13" s="42">
        <v>1042.5757815482827</v>
      </c>
      <c r="W13" s="43">
        <f t="shared" si="3"/>
        <v>0.08619458378344293</v>
      </c>
      <c r="X13" s="45">
        <f>737759554/718.61/1000</f>
        <v>1026.6480483154978</v>
      </c>
      <c r="Y13" s="46">
        <f t="shared" si="4"/>
        <v>0.08284263214112514</v>
      </c>
      <c r="Z13" s="45">
        <v>1240.038268777366</v>
      </c>
      <c r="AA13" s="46">
        <f t="shared" si="5"/>
        <v>0.07491714983327978</v>
      </c>
      <c r="AB13" s="45">
        <v>1397.0592303552207</v>
      </c>
      <c r="AC13" s="46">
        <f t="shared" si="6"/>
        <v>0.07123694877951742</v>
      </c>
      <c r="AD13" s="49">
        <f>977700919/512.5/1000</f>
        <v>1907.7091102439026</v>
      </c>
      <c r="AE13" s="102">
        <f t="shared" si="7"/>
        <v>0.08102571992567992</v>
      </c>
      <c r="AF13" s="45">
        <f>1003207141/532.39/1000</f>
        <v>1884.3463269407766</v>
      </c>
      <c r="AG13" s="102">
        <f t="shared" si="0"/>
        <v>0.0761667238799433</v>
      </c>
      <c r="AH13" s="45">
        <f>1326674974/496.89/1000</f>
        <v>2669.957081044094</v>
      </c>
      <c r="AI13" s="102">
        <f t="shared" si="1"/>
        <v>0.08916890558198286</v>
      </c>
      <c r="AJ13" s="45">
        <f>2016542102/636.45/1000</f>
        <v>3168.4218744598943</v>
      </c>
      <c r="AK13" s="102">
        <f t="shared" si="8"/>
        <v>0.11847667021307653</v>
      </c>
      <c r="AL13" s="45">
        <f>2084020892/507.1/1000</f>
        <v>4109.684267402879</v>
      </c>
      <c r="AM13" s="102">
        <f t="shared" si="9"/>
        <v>0.11819149318457002</v>
      </c>
      <c r="AN13" s="45">
        <v>5611.606690027991</v>
      </c>
      <c r="AO13" s="102">
        <f t="shared" si="10"/>
        <v>0.1365438983698716</v>
      </c>
      <c r="AP13" s="45">
        <v>5604.789304699538</v>
      </c>
      <c r="AQ13" s="102">
        <f t="shared" si="11"/>
        <v>0.1380720329742091</v>
      </c>
      <c r="AR13" s="45">
        <v>6944.842641053421</v>
      </c>
      <c r="AS13" s="102">
        <f t="shared" si="12"/>
        <v>0.14542123757540587</v>
      </c>
      <c r="AT13" s="45">
        <v>6682.618976001219</v>
      </c>
      <c r="AU13" s="102">
        <f t="shared" si="13"/>
        <v>0.14062876162188656</v>
      </c>
      <c r="AV13" s="45">
        <v>6352.427306139266</v>
      </c>
      <c r="AW13" s="102">
        <f t="shared" si="14"/>
        <v>0.1371832412034004</v>
      </c>
      <c r="AX13" s="45">
        <v>6373.307805283316</v>
      </c>
      <c r="AY13" s="102">
        <f t="shared" si="15"/>
        <v>0.14261306405467242</v>
      </c>
      <c r="AZ13" s="45">
        <v>6973.250962701838</v>
      </c>
      <c r="BA13" s="102">
        <f t="shared" si="16"/>
        <v>0.13208583231851254</v>
      </c>
      <c r="BB13" s="45">
        <v>7745.41556242375</v>
      </c>
      <c r="BC13" s="102">
        <f t="shared" si="17"/>
        <v>0.12389642404501738</v>
      </c>
      <c r="BD13" s="45">
        <v>6965.710140046346</v>
      </c>
      <c r="BE13" s="102">
        <f t="shared" si="18"/>
        <v>0.11653883926592479</v>
      </c>
      <c r="BF13" s="45">
        <v>6967.7566685364745</v>
      </c>
      <c r="BG13" s="102">
        <f t="shared" si="19"/>
        <v>0.11514294012020174</v>
      </c>
      <c r="BH13" s="45">
        <v>6417.207329629369</v>
      </c>
      <c r="BI13" s="102">
        <f t="shared" si="20"/>
        <v>0.09688499996637069</v>
      </c>
    </row>
    <row r="14" spans="1:61" ht="12.75" customHeight="1">
      <c r="A14" s="41" t="s">
        <v>10</v>
      </c>
      <c r="B14" s="49">
        <v>4</v>
      </c>
      <c r="C14" s="94">
        <v>0.001</v>
      </c>
      <c r="D14" s="42">
        <v>5.791272375170103</v>
      </c>
      <c r="E14" s="43">
        <v>0.0018685628132630468</v>
      </c>
      <c r="F14" s="42">
        <v>10.063575046094241</v>
      </c>
      <c r="G14" s="43">
        <v>0.0026057931776321437</v>
      </c>
      <c r="H14" s="42">
        <v>6.207088255733148</v>
      </c>
      <c r="I14" s="43">
        <v>0.0011391934884979976</v>
      </c>
      <c r="J14" s="42">
        <v>8.130756186871789</v>
      </c>
      <c r="K14" s="43">
        <v>0.0012205748511230129</v>
      </c>
      <c r="L14" s="44">
        <v>6.862623243993693</v>
      </c>
      <c r="M14" s="43">
        <v>0.000855299528032138</v>
      </c>
      <c r="N14" s="42">
        <v>6.871990983195956</v>
      </c>
      <c r="O14" s="43">
        <v>0.0007316744456240526</v>
      </c>
      <c r="P14" s="42">
        <v>11.463957155860374</v>
      </c>
      <c r="Q14" s="43">
        <v>0.001141099860769769</v>
      </c>
      <c r="R14" s="42">
        <v>11.77117739166525</v>
      </c>
      <c r="S14" s="43">
        <v>0.0011005883066587641</v>
      </c>
      <c r="T14" s="48" t="s">
        <v>0</v>
      </c>
      <c r="U14" s="48" t="s">
        <v>0</v>
      </c>
      <c r="V14" s="48" t="s">
        <v>0</v>
      </c>
      <c r="W14" s="48" t="s">
        <v>0</v>
      </c>
      <c r="X14" s="49" t="s">
        <v>0</v>
      </c>
      <c r="Y14" s="50" t="s">
        <v>0</v>
      </c>
      <c r="Z14" s="49"/>
      <c r="AA14" s="46" t="s">
        <v>0</v>
      </c>
      <c r="AB14" s="108"/>
      <c r="AC14" s="50" t="s">
        <v>0</v>
      </c>
      <c r="AD14" s="50" t="s">
        <v>0</v>
      </c>
      <c r="AE14" s="50" t="s">
        <v>0</v>
      </c>
      <c r="AF14" s="49" t="s">
        <v>0</v>
      </c>
      <c r="AG14" s="107" t="s">
        <v>0</v>
      </c>
      <c r="AH14" s="49" t="s">
        <v>0</v>
      </c>
      <c r="AI14" s="107" t="s">
        <v>0</v>
      </c>
      <c r="AJ14" s="49" t="s">
        <v>0</v>
      </c>
      <c r="AK14" s="107" t="s">
        <v>0</v>
      </c>
      <c r="AL14" s="45">
        <f>30692515/507.1/1000</f>
        <v>60.52556694931965</v>
      </c>
      <c r="AM14" s="102">
        <f t="shared" si="9"/>
        <v>0.0017406707348113343</v>
      </c>
      <c r="AN14" s="45">
        <v>99.05894318497468</v>
      </c>
      <c r="AO14" s="102">
        <f t="shared" si="10"/>
        <v>0.0024103425307607576</v>
      </c>
      <c r="AP14" s="45">
        <v>95.97249807395993</v>
      </c>
      <c r="AQ14" s="102">
        <f t="shared" si="11"/>
        <v>0.0023642490731228985</v>
      </c>
      <c r="AR14" s="45">
        <v>111.26176348029003</v>
      </c>
      <c r="AS14" s="102">
        <f t="shared" si="12"/>
        <v>0.0023297609717578354</v>
      </c>
      <c r="AT14" s="45">
        <v>149.53174167476791</v>
      </c>
      <c r="AU14" s="102">
        <f t="shared" si="13"/>
        <v>0.0031467398830315445</v>
      </c>
      <c r="AV14" s="45">
        <v>177.30548660898228</v>
      </c>
      <c r="AW14" s="102">
        <f t="shared" si="14"/>
        <v>0.003828983814212111</v>
      </c>
      <c r="AX14" s="45">
        <v>163.19472935676467</v>
      </c>
      <c r="AY14" s="102">
        <f t="shared" si="15"/>
        <v>0.003651745859794796</v>
      </c>
      <c r="AZ14" s="45">
        <v>196.0478990843503</v>
      </c>
      <c r="BA14" s="102">
        <f t="shared" si="16"/>
        <v>0.003713497486804762</v>
      </c>
      <c r="BB14" s="45">
        <v>240.77164050427004</v>
      </c>
      <c r="BC14" s="102">
        <f t="shared" si="17"/>
        <v>0.003851406684316971</v>
      </c>
      <c r="BD14" s="45">
        <v>246.35595952617416</v>
      </c>
      <c r="BE14" s="102">
        <f t="shared" si="18"/>
        <v>0.004121623925228744</v>
      </c>
      <c r="BF14" s="45">
        <v>198.34785506317277</v>
      </c>
      <c r="BG14" s="102">
        <f t="shared" si="19"/>
        <v>0.0032777199728627124</v>
      </c>
      <c r="BH14" s="45">
        <v>228.5630339686335</v>
      </c>
      <c r="BI14" s="102">
        <f t="shared" si="20"/>
        <v>0.003450773584347259</v>
      </c>
    </row>
    <row r="15" spans="1:61" ht="12.75" customHeight="1">
      <c r="A15" s="41" t="s">
        <v>11</v>
      </c>
      <c r="B15" s="49">
        <v>43</v>
      </c>
      <c r="C15" s="94">
        <v>0.018</v>
      </c>
      <c r="D15" s="42">
        <v>61.88321993091176</v>
      </c>
      <c r="E15" s="43">
        <v>0.019966714745390284</v>
      </c>
      <c r="F15" s="42">
        <v>71.43058790580436</v>
      </c>
      <c r="G15" s="43">
        <v>0.018495747066688596</v>
      </c>
      <c r="H15" s="42">
        <v>68.17135411496078</v>
      </c>
      <c r="I15" s="43">
        <v>0.01251156089783706</v>
      </c>
      <c r="J15" s="42">
        <v>87.51804575950456</v>
      </c>
      <c r="K15" s="43">
        <v>0.013138055454911252</v>
      </c>
      <c r="L15" s="44">
        <v>138.62225333552956</v>
      </c>
      <c r="M15" s="43">
        <v>0.017276709450194445</v>
      </c>
      <c r="N15" s="42">
        <v>160.07798624709685</v>
      </c>
      <c r="O15" s="43">
        <v>0.017043819197429737</v>
      </c>
      <c r="P15" s="42">
        <v>179.97973793950172</v>
      </c>
      <c r="Q15" s="43">
        <v>0.017914830901052115</v>
      </c>
      <c r="R15" s="42">
        <v>163.70595393061294</v>
      </c>
      <c r="S15" s="43">
        <v>0.015306273334562515</v>
      </c>
      <c r="T15" s="42">
        <v>188.38821058136494</v>
      </c>
      <c r="U15" s="43">
        <f t="shared" si="2"/>
        <v>0.01578569928193728</v>
      </c>
      <c r="V15" s="42">
        <v>210.08701873883228</v>
      </c>
      <c r="W15" s="43">
        <f t="shared" si="3"/>
        <v>0.017368869926755928</v>
      </c>
      <c r="X15" s="45">
        <f>(50990689+13366863+90173834+38235745)/718.61/1000</f>
        <v>268.2499979126369</v>
      </c>
      <c r="Y15" s="46">
        <f t="shared" si="4"/>
        <v>0.021645719714167313</v>
      </c>
      <c r="Z15" s="45">
        <v>364.11657965644997</v>
      </c>
      <c r="AA15" s="46">
        <f t="shared" si="5"/>
        <v>0.021998172993321675</v>
      </c>
      <c r="AB15" s="45">
        <v>431.8116666666666</v>
      </c>
      <c r="AC15" s="46">
        <f t="shared" si="6"/>
        <v>0.022018354635479555</v>
      </c>
      <c r="AD15" s="49">
        <f>23544-23084</f>
        <v>460</v>
      </c>
      <c r="AE15" s="102">
        <f t="shared" si="7"/>
        <v>0.019537481351676052</v>
      </c>
      <c r="AF15" s="45">
        <f>24740-24100</f>
        <v>640</v>
      </c>
      <c r="AG15" s="102">
        <f>AF15/$AF$21</f>
        <v>0.025869290897445406</v>
      </c>
      <c r="AH15" s="45">
        <f>(8797605+138825932+38171050+133476150+146196396)/496.89/1000</f>
        <v>936.7609189156553</v>
      </c>
      <c r="AI15" s="102">
        <f>AH15/$AH$21</f>
        <v>0.03128512683770068</v>
      </c>
      <c r="AJ15" s="45">
        <f>(26743-25854)</f>
        <v>889</v>
      </c>
      <c r="AK15" s="102">
        <f t="shared" si="8"/>
        <v>0.03324234082223644</v>
      </c>
      <c r="AL15" s="45">
        <f>778635134/507.1/1000</f>
        <v>1535.46664168803</v>
      </c>
      <c r="AM15" s="102">
        <f t="shared" si="9"/>
        <v>0.04415888990686172</v>
      </c>
      <c r="AN15" s="45">
        <v>1906.5520779470523</v>
      </c>
      <c r="AO15" s="102">
        <f t="shared" si="10"/>
        <v>0.04639100128501188</v>
      </c>
      <c r="AP15" s="45">
        <v>1913.3008628659475</v>
      </c>
      <c r="AQ15" s="102">
        <f t="shared" si="11"/>
        <v>0.04713350055919215</v>
      </c>
      <c r="AR15" s="45">
        <v>2640.578806567214</v>
      </c>
      <c r="AS15" s="102">
        <f t="shared" si="12"/>
        <v>0.05529228779014444</v>
      </c>
      <c r="AT15" s="45">
        <v>2900.639442633575</v>
      </c>
      <c r="AU15" s="102">
        <f t="shared" si="13"/>
        <v>0.0610409383198514</v>
      </c>
      <c r="AV15" s="45">
        <v>2997.7887878038728</v>
      </c>
      <c r="AW15" s="102">
        <f t="shared" si="14"/>
        <v>0.06473846335190664</v>
      </c>
      <c r="AX15" s="45">
        <v>2921.1005717021517</v>
      </c>
      <c r="AY15" s="102">
        <f t="shared" si="15"/>
        <v>0.06536434700313057</v>
      </c>
      <c r="AZ15" s="45">
        <v>4389.885746934142</v>
      </c>
      <c r="BA15" s="102">
        <f t="shared" si="16"/>
        <v>0.0831522794415974</v>
      </c>
      <c r="BB15" s="45">
        <v>6617.438111427409</v>
      </c>
      <c r="BC15" s="102">
        <f t="shared" si="17"/>
        <v>0.10585318653819364</v>
      </c>
      <c r="BD15" s="45">
        <v>5830.5620910517155</v>
      </c>
      <c r="BE15" s="102">
        <f t="shared" si="18"/>
        <v>0.09754740359531372</v>
      </c>
      <c r="BF15" s="45">
        <v>6146.609274247402</v>
      </c>
      <c r="BG15" s="102">
        <f t="shared" si="19"/>
        <v>0.10157338972567774</v>
      </c>
      <c r="BH15" s="45">
        <v>7457.125986356284</v>
      </c>
      <c r="BI15" s="102">
        <f>BH15/$BH$21</f>
        <v>0.11258536834263046</v>
      </c>
    </row>
    <row r="16" spans="1:61" ht="12.75" customHeight="1">
      <c r="A16" s="41" t="s">
        <v>12</v>
      </c>
      <c r="B16" s="49">
        <v>182</v>
      </c>
      <c r="C16" s="94">
        <v>0.078</v>
      </c>
      <c r="D16" s="48">
        <v>228.89247618549146</v>
      </c>
      <c r="E16" s="43">
        <v>0.07385250451518338</v>
      </c>
      <c r="F16" s="48">
        <v>254.20946857422922</v>
      </c>
      <c r="G16" s="43">
        <v>0.06582325822246529</v>
      </c>
      <c r="H16" s="48">
        <v>402.3078750124094</v>
      </c>
      <c r="I16" s="43">
        <v>0.0738359908387464</v>
      </c>
      <c r="J16" s="48">
        <v>513.6449927502396</v>
      </c>
      <c r="K16" s="43">
        <v>0.07710748498011637</v>
      </c>
      <c r="L16" s="51">
        <v>580.2781466927077</v>
      </c>
      <c r="M16" s="43">
        <v>0.07232097804990513</v>
      </c>
      <c r="N16" s="42">
        <v>673.1348217131928</v>
      </c>
      <c r="O16" s="43">
        <v>0.07166999326855805</v>
      </c>
      <c r="P16" s="42">
        <v>779.3609639931416</v>
      </c>
      <c r="Q16" s="43">
        <v>0.0775760651763551</v>
      </c>
      <c r="R16" s="42">
        <v>795.8748882223102</v>
      </c>
      <c r="S16" s="43">
        <v>0.07441316755289415</v>
      </c>
      <c r="T16" s="42">
        <v>883.9066469101369</v>
      </c>
      <c r="U16" s="43">
        <f t="shared" si="2"/>
        <v>0.07406559294963203</v>
      </c>
      <c r="V16" s="42">
        <v>884.0770659295348</v>
      </c>
      <c r="W16" s="43">
        <f t="shared" si="3"/>
        <v>0.07309075856060893</v>
      </c>
      <c r="X16" s="45">
        <f>648175110/718.61/1000</f>
        <v>901.9845395972781</v>
      </c>
      <c r="Y16" s="46">
        <f t="shared" si="4"/>
        <v>0.07278324205986945</v>
      </c>
      <c r="Z16" s="45">
        <v>1210.1098164365105</v>
      </c>
      <c r="AA16" s="46">
        <f t="shared" si="5"/>
        <v>0.07310901664517364</v>
      </c>
      <c r="AB16" s="45">
        <v>1476.651257624686</v>
      </c>
      <c r="AC16" s="46">
        <f t="shared" si="6"/>
        <v>0.07529539744558521</v>
      </c>
      <c r="AD16" s="49">
        <f>957743261/512.5/1000</f>
        <v>1868.7673385365854</v>
      </c>
      <c r="AE16" s="102">
        <f t="shared" si="7"/>
        <v>0.07937175440713005</v>
      </c>
      <c r="AF16" s="45">
        <f>1135981989/532.39/1000</f>
        <v>2133.7402824996716</v>
      </c>
      <c r="AG16" s="102">
        <f>AF16/$AF$21</f>
        <v>0.08624741885559585</v>
      </c>
      <c r="AH16" s="45">
        <f>1441714290/496.89/1000</f>
        <v>2901.475759222363</v>
      </c>
      <c r="AI16" s="102">
        <f>AH16/$AH$21</f>
        <v>0.09690096513511641</v>
      </c>
      <c r="AJ16" s="45">
        <f>1816716206/636.45/1000</f>
        <v>2854.452362322256</v>
      </c>
      <c r="AK16" s="102">
        <f t="shared" si="8"/>
        <v>0.10673642102267082</v>
      </c>
      <c r="AL16" s="45">
        <f>1986509012/507.1/1000</f>
        <v>3917.3910707947152</v>
      </c>
      <c r="AM16" s="102">
        <f t="shared" si="9"/>
        <v>0.11266128245363334</v>
      </c>
      <c r="AN16" s="45">
        <v>4681.585760988013</v>
      </c>
      <c r="AO16" s="102">
        <f t="shared" si="10"/>
        <v>0.11391425052902213</v>
      </c>
      <c r="AP16" s="45">
        <v>4882.986213405238</v>
      </c>
      <c r="AQ16" s="102">
        <f t="shared" si="11"/>
        <v>0.12029066514678545</v>
      </c>
      <c r="AR16" s="45">
        <v>5981.01741603467</v>
      </c>
      <c r="AS16" s="102">
        <f t="shared" si="12"/>
        <v>0.1252392602041575</v>
      </c>
      <c r="AT16" s="45">
        <v>6361.55444997236</v>
      </c>
      <c r="AU16" s="102">
        <f t="shared" si="13"/>
        <v>0.13387229280953866</v>
      </c>
      <c r="AV16" s="45">
        <v>6609.6149633292125</v>
      </c>
      <c r="AW16" s="102">
        <f t="shared" si="14"/>
        <v>0.1427373128535754</v>
      </c>
      <c r="AX16" s="45">
        <v>6416.151089895236</v>
      </c>
      <c r="AY16" s="102">
        <f t="shared" si="15"/>
        <v>0.14357175180039955</v>
      </c>
      <c r="AZ16" s="45">
        <v>8050.8258756927125</v>
      </c>
      <c r="BA16" s="102">
        <f t="shared" si="16"/>
        <v>0.15249702647017127</v>
      </c>
      <c r="BB16" s="45">
        <v>9549.994028466856</v>
      </c>
      <c r="BC16" s="102">
        <f t="shared" si="17"/>
        <v>0.15276263749082236</v>
      </c>
      <c r="BD16" s="45">
        <v>8850.527891244585</v>
      </c>
      <c r="BE16" s="102">
        <f t="shared" si="18"/>
        <v>0.1480725190395985</v>
      </c>
      <c r="BF16" s="45">
        <v>9143.581427464807</v>
      </c>
      <c r="BG16" s="102">
        <f t="shared" si="19"/>
        <v>0.1510986819532413</v>
      </c>
      <c r="BH16" s="45">
        <v>10268.233896898515</v>
      </c>
      <c r="BI16" s="102">
        <f t="shared" si="20"/>
        <v>0.1550266010827418</v>
      </c>
    </row>
    <row r="17" spans="1:61" ht="12.75" customHeight="1">
      <c r="A17" s="41" t="s">
        <v>13</v>
      </c>
      <c r="B17" s="49">
        <v>70</v>
      </c>
      <c r="C17" s="94">
        <v>0.03</v>
      </c>
      <c r="D17" s="48">
        <v>120.9900319271433</v>
      </c>
      <c r="E17" s="43">
        <v>0.03903761726073682</v>
      </c>
      <c r="F17" s="48">
        <v>187.48787546385975</v>
      </c>
      <c r="G17" s="43">
        <v>0.0485468260071338</v>
      </c>
      <c r="H17" s="48">
        <v>291.0352725106721</v>
      </c>
      <c r="I17" s="43">
        <v>0.05341401212737188</v>
      </c>
      <c r="J17" s="48">
        <v>396.7210587107714</v>
      </c>
      <c r="K17" s="43">
        <v>0.0595550691773436</v>
      </c>
      <c r="L17" s="51">
        <v>568.6341365272842</v>
      </c>
      <c r="M17" s="43">
        <v>0.07086976674996898</v>
      </c>
      <c r="N17" s="42">
        <v>775.7096498019035</v>
      </c>
      <c r="O17" s="43">
        <v>0.08259133770284394</v>
      </c>
      <c r="P17" s="42">
        <v>938.7397324358078</v>
      </c>
      <c r="Q17" s="43">
        <v>0.09344031588899958</v>
      </c>
      <c r="R17" s="42">
        <v>1020.0929424415642</v>
      </c>
      <c r="S17" s="43">
        <v>0.09537723600625225</v>
      </c>
      <c r="T17" s="42">
        <v>1206.5578052819665</v>
      </c>
      <c r="U17" s="43">
        <f t="shared" si="2"/>
        <v>0.1011016486736532</v>
      </c>
      <c r="V17" s="42">
        <v>1199.6407917042106</v>
      </c>
      <c r="W17" s="43">
        <f t="shared" si="3"/>
        <v>0.09917987791451083</v>
      </c>
      <c r="X17" s="45">
        <f>940168103/718.61/1000</f>
        <v>1308.3148063622828</v>
      </c>
      <c r="Y17" s="46">
        <f t="shared" si="4"/>
        <v>0.10557098160961052</v>
      </c>
      <c r="Z17" s="45">
        <v>1676.3233294038398</v>
      </c>
      <c r="AA17" s="46">
        <f t="shared" si="5"/>
        <v>0.10127539544549108</v>
      </c>
      <c r="AB17" s="45">
        <v>1789.7749461786868</v>
      </c>
      <c r="AC17" s="46">
        <f t="shared" si="6"/>
        <v>0.09126177573400132</v>
      </c>
      <c r="AD17" s="49">
        <f>1158108416/512.5/1000</f>
        <v>2259.7237385365856</v>
      </c>
      <c r="AE17" s="102">
        <f t="shared" si="7"/>
        <v>0.09597676174260486</v>
      </c>
      <c r="AF17" s="45">
        <f>1369209641/532.39/1000</f>
        <v>2571.816978155112</v>
      </c>
      <c r="AG17" s="102">
        <f>AF17/$AF$21</f>
        <v>0.1039548149107556</v>
      </c>
      <c r="AH17" s="45">
        <f>1620407074/496.89/1000</f>
        <v>3261.098178671336</v>
      </c>
      <c r="AI17" s="102">
        <f>AH17/$AH$21</f>
        <v>0.1089113220778092</v>
      </c>
      <c r="AJ17" s="45">
        <f>2019975400/636.45/1000</f>
        <v>3173.816324927331</v>
      </c>
      <c r="AK17" s="102">
        <f t="shared" si="8"/>
        <v>0.11867838467987879</v>
      </c>
      <c r="AL17" s="45">
        <f>1981771308/507.1/1000</f>
        <v>3908.048329718004</v>
      </c>
      <c r="AM17" s="102">
        <f t="shared" si="9"/>
        <v>0.11239259210020355</v>
      </c>
      <c r="AN17" s="45">
        <v>4081.4920194012952</v>
      </c>
      <c r="AO17" s="102">
        <f t="shared" si="10"/>
        <v>0.09931252532094201</v>
      </c>
      <c r="AP17" s="45">
        <v>3746.1048979198763</v>
      </c>
      <c r="AQ17" s="102">
        <f t="shared" si="11"/>
        <v>0.09228398979364796</v>
      </c>
      <c r="AR17" s="45">
        <v>4288.274206183849</v>
      </c>
      <c r="AS17" s="102">
        <f t="shared" si="12"/>
        <v>0.08979413564241039</v>
      </c>
      <c r="AT17" s="45">
        <v>4339.860301938583</v>
      </c>
      <c r="AU17" s="102">
        <f t="shared" si="13"/>
        <v>0.09132784347953497</v>
      </c>
      <c r="AV17" s="45">
        <v>4182.362007416564</v>
      </c>
      <c r="AW17" s="102">
        <f t="shared" si="14"/>
        <v>0.09031980192970757</v>
      </c>
      <c r="AX17" s="45">
        <v>3825.1070392587585</v>
      </c>
      <c r="AY17" s="102">
        <f t="shared" si="15"/>
        <v>0.08559295296448308</v>
      </c>
      <c r="AZ17" s="45">
        <v>4656.34023780005</v>
      </c>
      <c r="BA17" s="102">
        <f t="shared" si="16"/>
        <v>0.08819940357197466</v>
      </c>
      <c r="BB17" s="45">
        <v>5605.612219601465</v>
      </c>
      <c r="BC17" s="102">
        <f t="shared" si="17"/>
        <v>0.08966792071958778</v>
      </c>
      <c r="BD17" s="45">
        <v>5607.776563467047</v>
      </c>
      <c r="BE17" s="102">
        <f t="shared" si="18"/>
        <v>0.093820121485095</v>
      </c>
      <c r="BF17" s="45">
        <v>5715.418177204369</v>
      </c>
      <c r="BG17" s="102">
        <f t="shared" si="19"/>
        <v>0.09444790974280423</v>
      </c>
      <c r="BH17" s="45">
        <v>6416.280939587875</v>
      </c>
      <c r="BI17" s="102">
        <f t="shared" si="20"/>
        <v>0.09687101361771017</v>
      </c>
    </row>
    <row r="18" spans="1:61" ht="12.75" customHeight="1">
      <c r="A18" s="41" t="s">
        <v>14</v>
      </c>
      <c r="B18" s="49" t="s">
        <v>0</v>
      </c>
      <c r="C18" s="94" t="s">
        <v>0</v>
      </c>
      <c r="D18" s="48" t="s">
        <v>0</v>
      </c>
      <c r="E18" s="52" t="s">
        <v>0</v>
      </c>
      <c r="F18" s="48" t="s">
        <v>0</v>
      </c>
      <c r="G18" s="52" t="s">
        <v>0</v>
      </c>
      <c r="H18" s="42">
        <v>33.06801846520401</v>
      </c>
      <c r="I18" s="43">
        <v>0.00606900848852881</v>
      </c>
      <c r="J18" s="42">
        <v>75.48742473765697</v>
      </c>
      <c r="K18" s="43">
        <v>0.011332039738148182</v>
      </c>
      <c r="L18" s="51">
        <v>109.49943525425323</v>
      </c>
      <c r="M18" s="43">
        <v>0.013647086830056863</v>
      </c>
      <c r="N18" s="42">
        <v>136.72835967029462</v>
      </c>
      <c r="O18" s="43">
        <v>0.014557738362503351</v>
      </c>
      <c r="P18" s="42">
        <v>138.9301941110476</v>
      </c>
      <c r="Q18" s="43">
        <v>0.013828839640751033</v>
      </c>
      <c r="R18" s="42">
        <v>138.53797988944856</v>
      </c>
      <c r="S18" s="43">
        <v>0.012953103637909238</v>
      </c>
      <c r="T18" s="42">
        <v>136.1956872657544</v>
      </c>
      <c r="U18" s="43">
        <f t="shared" si="2"/>
        <v>0.011412307362755121</v>
      </c>
      <c r="V18" s="42">
        <v>126.97220941065075</v>
      </c>
      <c r="W18" s="43">
        <f t="shared" si="3"/>
        <v>0.010497382478962135</v>
      </c>
      <c r="X18" s="45">
        <f>87626805/718.61/1000</f>
        <v>121.93930643881939</v>
      </c>
      <c r="Y18" s="46">
        <f t="shared" si="4"/>
        <v>0.009839567827971641</v>
      </c>
      <c r="Z18" s="45">
        <v>180.847485685416</v>
      </c>
      <c r="AA18" s="46">
        <f t="shared" si="5"/>
        <v>0.010925935532154705</v>
      </c>
      <c r="AB18" s="45">
        <v>226.1526856835307</v>
      </c>
      <c r="AC18" s="46">
        <f t="shared" si="6"/>
        <v>0.011531670910110009</v>
      </c>
      <c r="AD18" s="49">
        <f>140611200/512.5/1000</f>
        <v>274.3633170731707</v>
      </c>
      <c r="AE18" s="102">
        <f t="shared" si="7"/>
        <v>0.011652974328045776</v>
      </c>
      <c r="AF18" s="45">
        <f>201988494/532.39/1000</f>
        <v>379.39948909633915</v>
      </c>
      <c r="AG18" s="102">
        <f>AF18/$AF$21</f>
        <v>0.015335618359024007</v>
      </c>
      <c r="AH18" s="45">
        <f>248207792/496.89/1000</f>
        <v>499.52261466320516</v>
      </c>
      <c r="AI18" s="102">
        <f>AH18/$AH$21</f>
        <v>0.0166826220463253</v>
      </c>
      <c r="AJ18" s="45">
        <f>261200453/636.45/1000</f>
        <v>410.402157278655</v>
      </c>
      <c r="AK18" s="102">
        <f t="shared" si="8"/>
        <v>0.015346151165847168</v>
      </c>
      <c r="AL18" s="45">
        <f>301918023/507.1/1000</f>
        <v>595.3816268980478</v>
      </c>
      <c r="AM18" s="102">
        <f t="shared" si="9"/>
        <v>0.017122737154260426</v>
      </c>
      <c r="AN18" s="45">
        <v>827.808157945343</v>
      </c>
      <c r="AO18" s="102">
        <f t="shared" si="10"/>
        <v>0.020142565085522007</v>
      </c>
      <c r="AP18" s="45">
        <v>975.7881933744221</v>
      </c>
      <c r="AQ18" s="102">
        <f t="shared" si="11"/>
        <v>0.024038202381393484</v>
      </c>
      <c r="AR18" s="45">
        <v>1082.6101133427785</v>
      </c>
      <c r="AS18" s="102">
        <f t="shared" si="12"/>
        <v>0.022669268496208428</v>
      </c>
      <c r="AT18" s="45">
        <v>898.7441813918911</v>
      </c>
      <c r="AU18" s="102">
        <f t="shared" si="13"/>
        <v>0.01891313595731105</v>
      </c>
      <c r="AV18" s="45">
        <v>811.8956209311908</v>
      </c>
      <c r="AW18" s="102">
        <f t="shared" si="14"/>
        <v>0.017533214853249404</v>
      </c>
      <c r="AX18" s="45">
        <v>819.3921609214825</v>
      </c>
      <c r="AY18" s="102">
        <f t="shared" si="15"/>
        <v>0.018335224078542236</v>
      </c>
      <c r="AZ18" s="45">
        <v>866.0292903341449</v>
      </c>
      <c r="BA18" s="102">
        <f t="shared" si="16"/>
        <v>0.016404142090660528</v>
      </c>
      <c r="BB18" s="45">
        <v>1161.0590158601055</v>
      </c>
      <c r="BC18" s="102">
        <f t="shared" si="17"/>
        <v>0.018572413450373904</v>
      </c>
      <c r="BD18" s="45">
        <v>1267.2916994113161</v>
      </c>
      <c r="BE18" s="102">
        <f t="shared" si="18"/>
        <v>0.0212022465321466</v>
      </c>
      <c r="BF18" s="45">
        <v>1826.8232550685152</v>
      </c>
      <c r="BG18" s="102">
        <f t="shared" si="19"/>
        <v>0.0301884538560856</v>
      </c>
      <c r="BH18" s="45">
        <v>2051.2368914832264</v>
      </c>
      <c r="BI18" s="102">
        <f t="shared" si="20"/>
        <v>0.03096893647876712</v>
      </c>
    </row>
    <row r="19" spans="1:61" ht="12.75" customHeight="1">
      <c r="A19" s="36" t="s">
        <v>16</v>
      </c>
      <c r="B19" s="97" t="s">
        <v>0</v>
      </c>
      <c r="C19" s="54" t="s">
        <v>0</v>
      </c>
      <c r="D19" s="53" t="s">
        <v>0</v>
      </c>
      <c r="E19" s="54" t="s">
        <v>0</v>
      </c>
      <c r="F19" s="53" t="s">
        <v>0</v>
      </c>
      <c r="G19" s="54" t="s">
        <v>0</v>
      </c>
      <c r="H19" s="55">
        <v>3.4219323935272508</v>
      </c>
      <c r="I19" s="56">
        <v>0.0006280308802095761</v>
      </c>
      <c r="J19" s="37">
        <v>5.287429652748765</v>
      </c>
      <c r="K19" s="56">
        <v>0.000793739661219655</v>
      </c>
      <c r="L19" s="57">
        <v>26.55699931759889</v>
      </c>
      <c r="M19" s="56">
        <v>0.0033098405922505013</v>
      </c>
      <c r="N19" s="58">
        <v>71.22028780909878</v>
      </c>
      <c r="O19" s="56">
        <v>0.00758296463533382</v>
      </c>
      <c r="P19" s="58">
        <v>102.49878283694248</v>
      </c>
      <c r="Q19" s="56">
        <v>0.010202528257401523</v>
      </c>
      <c r="R19" s="58">
        <v>200.2247703133548</v>
      </c>
      <c r="S19" s="56">
        <v>0.01872073060986642</v>
      </c>
      <c r="T19" s="58">
        <v>243.11432929486622</v>
      </c>
      <c r="U19" s="43">
        <f t="shared" si="2"/>
        <v>0.020371389916255485</v>
      </c>
      <c r="V19" s="44">
        <v>290.2626689472961</v>
      </c>
      <c r="W19" s="43">
        <f t="shared" si="3"/>
        <v>0.023997363434463025</v>
      </c>
      <c r="X19" s="59">
        <f>208238859/718.61/1000</f>
        <v>289.7800740318114</v>
      </c>
      <c r="Y19" s="46">
        <f t="shared" si="4"/>
        <v>0.02338303191072552</v>
      </c>
      <c r="Z19" s="45">
        <v>317.2307140451331</v>
      </c>
      <c r="AA19" s="46">
        <f t="shared" si="5"/>
        <v>0.019165554430243533</v>
      </c>
      <c r="AB19" s="45">
        <v>510.36205059203445</v>
      </c>
      <c r="AC19" s="46">
        <f t="shared" si="6"/>
        <v>0.026023689237420575</v>
      </c>
      <c r="AD19" s="97">
        <f>414746793/512.5/1000</f>
        <v>809.2620351219513</v>
      </c>
      <c r="AE19" s="103">
        <f t="shared" si="7"/>
        <v>0.03437161286916203</v>
      </c>
      <c r="AF19" s="45">
        <f>782786104/532.39/1000</f>
        <v>1470.3245816037117</v>
      </c>
      <c r="AG19" s="102">
        <f>AF19/$AF$21</f>
        <v>0.05943164736745488</v>
      </c>
      <c r="AH19" s="45">
        <f>1061103451/496.89/1000</f>
        <v>2135.4896476081226</v>
      </c>
      <c r="AI19" s="102">
        <f>AH19/$AH$21</f>
        <v>0.07131922685603866</v>
      </c>
      <c r="AJ19" s="45">
        <f>1106078964/636.45/1000</f>
        <v>1737.888230025925</v>
      </c>
      <c r="AK19" s="102">
        <f t="shared" si="8"/>
        <v>0.06498478386217664</v>
      </c>
      <c r="AL19" s="45">
        <f>1130241578/507.1/1000</f>
        <v>2228.8337172155393</v>
      </c>
      <c r="AM19" s="102">
        <f t="shared" si="9"/>
        <v>0.06409961640783045</v>
      </c>
      <c r="AN19" s="45">
        <v>3448.7667891711717</v>
      </c>
      <c r="AO19" s="102">
        <f t="shared" si="10"/>
        <v>0.0839167974474754</v>
      </c>
      <c r="AP19" s="45">
        <v>3789.5490600924495</v>
      </c>
      <c r="AQ19" s="102">
        <f t="shared" si="11"/>
        <v>0.09335422160182652</v>
      </c>
      <c r="AR19" s="45">
        <v>4537.251918909909</v>
      </c>
      <c r="AS19" s="102">
        <f t="shared" si="12"/>
        <v>0.09500759388540747</v>
      </c>
      <c r="AT19" s="45">
        <v>5435.24705400202</v>
      </c>
      <c r="AU19" s="102">
        <f t="shared" si="13"/>
        <v>0.1143791176869833</v>
      </c>
      <c r="AV19" s="45">
        <v>6144.393209723939</v>
      </c>
      <c r="AW19" s="102">
        <f t="shared" si="14"/>
        <v>0.1326906606114912</v>
      </c>
      <c r="AX19" s="45">
        <v>6168.674540948518</v>
      </c>
      <c r="AY19" s="102">
        <f t="shared" si="15"/>
        <v>0.13803406399286733</v>
      </c>
      <c r="AZ19" s="45">
        <v>7084.127370905342</v>
      </c>
      <c r="BA19" s="102">
        <f t="shared" si="16"/>
        <v>0.1341860295924068</v>
      </c>
      <c r="BB19" s="45">
        <v>8471.598651484344</v>
      </c>
      <c r="BC19" s="102">
        <f t="shared" si="17"/>
        <v>0.13551251968397332</v>
      </c>
      <c r="BD19" s="45">
        <v>9452.887952847706</v>
      </c>
      <c r="BE19" s="102">
        <f t="shared" si="18"/>
        <v>0.15815021980348812</v>
      </c>
      <c r="BF19" s="45">
        <v>9709.601068461683</v>
      </c>
      <c r="BG19" s="102">
        <f t="shared" si="19"/>
        <v>0.1604522183539105</v>
      </c>
      <c r="BH19" s="45">
        <v>10290.674148674309</v>
      </c>
      <c r="BI19" s="102">
        <f t="shared" si="20"/>
        <v>0.155365397023229</v>
      </c>
    </row>
    <row r="20" spans="1:61" ht="7.5" customHeight="1">
      <c r="A20" s="60"/>
      <c r="B20" s="48"/>
      <c r="C20" s="48"/>
      <c r="D20" s="61"/>
      <c r="E20" s="61"/>
      <c r="F20" s="61"/>
      <c r="G20" s="61"/>
      <c r="H20" s="61"/>
      <c r="I20" s="61"/>
      <c r="J20" s="61"/>
      <c r="K20" s="61"/>
      <c r="L20" s="62"/>
      <c r="M20" s="61"/>
      <c r="N20" s="61"/>
      <c r="O20" s="63"/>
      <c r="P20" s="61"/>
      <c r="Q20" s="63"/>
      <c r="R20" s="61"/>
      <c r="S20" s="63"/>
      <c r="T20" s="61"/>
      <c r="U20" s="64"/>
      <c r="V20" s="65"/>
      <c r="W20" s="64"/>
      <c r="X20" s="45"/>
      <c r="Y20" s="88"/>
      <c r="Z20" s="89"/>
      <c r="AA20" s="88"/>
      <c r="AB20" s="89"/>
      <c r="AC20" s="88"/>
      <c r="AD20" s="45"/>
      <c r="AF20" s="89"/>
      <c r="AG20" s="105"/>
      <c r="AH20" s="89"/>
      <c r="AI20" s="105"/>
      <c r="AJ20" s="89"/>
      <c r="AK20" s="105"/>
      <c r="AL20" s="89"/>
      <c r="AM20" s="105"/>
      <c r="AN20" s="89"/>
      <c r="AO20" s="105"/>
      <c r="AP20" s="89"/>
      <c r="AQ20" s="105"/>
      <c r="AR20" s="89"/>
      <c r="AS20" s="105"/>
      <c r="AT20" s="89"/>
      <c r="AU20" s="105"/>
      <c r="AV20" s="89"/>
      <c r="AW20" s="105"/>
      <c r="AX20" s="89"/>
      <c r="AY20" s="105"/>
      <c r="AZ20" s="89"/>
      <c r="BA20" s="105"/>
      <c r="BB20" s="89"/>
      <c r="BC20" s="105"/>
      <c r="BD20" s="89"/>
      <c r="BE20" s="105"/>
      <c r="BF20" s="89"/>
      <c r="BG20" s="105"/>
      <c r="BH20" s="89"/>
      <c r="BI20" s="105"/>
    </row>
    <row r="21" spans="1:61" ht="12.75" customHeight="1">
      <c r="A21" s="60" t="s">
        <v>15</v>
      </c>
      <c r="B21" s="48">
        <v>2339</v>
      </c>
      <c r="C21" s="48"/>
      <c r="D21" s="62">
        <v>3099.319077776615</v>
      </c>
      <c r="E21" s="66"/>
      <c r="F21" s="62">
        <v>3862.0006884962777</v>
      </c>
      <c r="G21" s="66"/>
      <c r="H21" s="62">
        <v>5448.669008736226</v>
      </c>
      <c r="I21" s="66"/>
      <c r="J21" s="62">
        <v>6661.415462878768</v>
      </c>
      <c r="K21" s="66"/>
      <c r="L21" s="67">
        <v>8023.649048168105</v>
      </c>
      <c r="M21" s="66"/>
      <c r="N21" s="61">
        <v>9392.142945944715</v>
      </c>
      <c r="O21" s="68"/>
      <c r="P21" s="111">
        <v>10046.410090810947</v>
      </c>
      <c r="Q21" s="111"/>
      <c r="R21" s="111">
        <v>10695.350223555379</v>
      </c>
      <c r="S21" s="111"/>
      <c r="T21" s="111">
        <f>SUM(T8:T19)</f>
        <v>11934.106130916061</v>
      </c>
      <c r="U21" s="111"/>
      <c r="V21" s="111">
        <f>SUM(V8:V19)</f>
        <v>12095.606658623376</v>
      </c>
      <c r="W21" s="111"/>
      <c r="X21" s="45">
        <f>SUM(X8:X19)</f>
        <v>12392.750227522578</v>
      </c>
      <c r="Y21" s="70"/>
      <c r="Z21" s="90">
        <f>SUM(Z8:Z19)</f>
        <v>16552.128204782755</v>
      </c>
      <c r="AA21" s="70"/>
      <c r="AB21" s="90">
        <f>SUM(AB8:AB19)</f>
        <v>19611.44117330463</v>
      </c>
      <c r="AC21" s="70"/>
      <c r="AD21" s="104">
        <f>SUM(AD8:AD19)</f>
        <v>23544.48824390244</v>
      </c>
      <c r="AE21" s="7"/>
      <c r="AF21" s="90">
        <f>SUM(AF8:AF19)</f>
        <v>24739.758137831293</v>
      </c>
      <c r="AG21" s="106"/>
      <c r="AH21" s="90">
        <f>SUM(AH8:AH19)</f>
        <v>29942.692058604516</v>
      </c>
      <c r="AI21" s="106"/>
      <c r="AJ21" s="90">
        <f>SUM(AJ8:AJ19)</f>
        <v>26743.002388247307</v>
      </c>
      <c r="AK21" s="106"/>
      <c r="AL21" s="90">
        <f>SUM(AL8:AL19)</f>
        <v>34771.404918162094</v>
      </c>
      <c r="AM21" s="106"/>
      <c r="AN21" s="90">
        <f>SUM(AN8:AN19)</f>
        <v>41097.454789427575</v>
      </c>
      <c r="AO21" s="106"/>
      <c r="AP21" s="90">
        <f>SUM(AP8:AP19)</f>
        <v>40593.22647727272</v>
      </c>
      <c r="AQ21" s="106"/>
      <c r="AR21" s="90">
        <f>SUM(AR8:AR19)</f>
        <v>47756.72905033753</v>
      </c>
      <c r="AS21" s="106"/>
      <c r="AT21" s="90">
        <f>SUM(AT8:AT19)</f>
        <v>47519.5749356665</v>
      </c>
      <c r="AU21" s="106"/>
      <c r="AV21" s="90">
        <f>SUM(AV8:AV19)</f>
        <v>46306.14680346106</v>
      </c>
      <c r="AW21" s="106"/>
      <c r="AX21" s="90">
        <f>SUM(AX8:AX19)</f>
        <v>44689.50896980961</v>
      </c>
      <c r="AY21" s="106"/>
      <c r="AZ21" s="90">
        <f>SUM(AZ8:AZ19)</f>
        <v>52793.330217933595</v>
      </c>
      <c r="BA21" s="106"/>
      <c r="BB21" s="90">
        <f>SUM(BB8:BB19)</f>
        <v>62515.24708743391</v>
      </c>
      <c r="BC21" s="106"/>
      <c r="BD21" s="90">
        <f>SUM(BD8:BD19)</f>
        <v>59771.576445442384</v>
      </c>
      <c r="BE21" s="106"/>
      <c r="BF21" s="90">
        <f>SUM(BF8:BF19)</f>
        <v>60513.97212249913</v>
      </c>
      <c r="BG21" s="106"/>
      <c r="BH21" s="90">
        <f>SUM(BH8:BH19)</f>
        <v>66235.30300724381</v>
      </c>
      <c r="BI21" s="106"/>
    </row>
    <row r="22" spans="1:61" ht="7.5" customHeight="1">
      <c r="A22" s="38"/>
      <c r="B22" s="22"/>
      <c r="C22" s="22"/>
      <c r="D22" s="21"/>
      <c r="E22" s="22"/>
      <c r="F22" s="21"/>
      <c r="G22" s="22"/>
      <c r="H22" s="21"/>
      <c r="I22" s="22"/>
      <c r="J22" s="21"/>
      <c r="K22" s="22"/>
      <c r="L22" s="21"/>
      <c r="M22" s="22"/>
      <c r="N22" s="21"/>
      <c r="O22" s="22"/>
      <c r="P22" s="21"/>
      <c r="Q22" s="22"/>
      <c r="R22" s="21"/>
      <c r="S22" s="22"/>
      <c r="T22" s="21"/>
      <c r="U22" s="22"/>
      <c r="V22" s="21"/>
      <c r="W22" s="22"/>
      <c r="X22" s="37"/>
      <c r="Y22" s="38"/>
      <c r="Z22" s="69"/>
      <c r="AA22" s="40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</row>
    <row r="23" spans="1:62" ht="12.75">
      <c r="A23" s="24"/>
      <c r="B23" s="71"/>
      <c r="C23" s="72"/>
      <c r="D23" s="71"/>
      <c r="E23" s="72"/>
      <c r="F23" s="71"/>
      <c r="G23" s="72"/>
      <c r="H23" s="71"/>
      <c r="I23" s="72"/>
      <c r="J23" s="71"/>
      <c r="K23" s="72"/>
      <c r="L23" s="71"/>
      <c r="M23" s="72"/>
      <c r="N23" s="71"/>
      <c r="O23" s="72"/>
      <c r="P23" s="71"/>
      <c r="Q23" s="72"/>
      <c r="R23" s="71"/>
      <c r="S23" s="72"/>
      <c r="T23" s="71"/>
      <c r="U23" s="72"/>
      <c r="V23" s="71"/>
      <c r="W23" s="72"/>
      <c r="X23" s="7"/>
      <c r="Y23" s="70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43" ht="12">
      <c r="A24" s="41"/>
      <c r="B24" s="73"/>
      <c r="C24" s="41"/>
      <c r="D24" s="73"/>
      <c r="E24" s="41"/>
      <c r="F24" s="73"/>
      <c r="G24" s="41"/>
      <c r="H24" s="73"/>
      <c r="I24" s="41"/>
      <c r="J24" s="73"/>
      <c r="K24" s="41"/>
      <c r="L24" s="73"/>
      <c r="M24" s="41"/>
      <c r="N24" s="73"/>
      <c r="O24" s="41"/>
      <c r="P24" s="74"/>
      <c r="Q24" s="41"/>
      <c r="R24" s="73"/>
      <c r="S24" s="41"/>
      <c r="T24" s="73"/>
      <c r="U24" s="41"/>
      <c r="V24" s="73"/>
      <c r="W24" s="41"/>
      <c r="X24" s="41"/>
      <c r="Y24" s="75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76"/>
      <c r="AM24" s="14"/>
      <c r="AN24" s="109"/>
      <c r="AO24" s="109"/>
      <c r="AP24" s="109"/>
      <c r="AQ24" s="109"/>
    </row>
    <row r="25" spans="1:43" ht="12">
      <c r="A25" s="41"/>
      <c r="B25" s="73"/>
      <c r="C25" s="41"/>
      <c r="D25" s="73"/>
      <c r="E25" s="41"/>
      <c r="F25" s="73"/>
      <c r="G25" s="41"/>
      <c r="H25" s="73"/>
      <c r="I25" s="41"/>
      <c r="J25" s="73"/>
      <c r="K25" s="41"/>
      <c r="L25" s="73"/>
      <c r="M25" s="41"/>
      <c r="N25" s="73"/>
      <c r="O25" s="41"/>
      <c r="P25" s="74"/>
      <c r="Q25" s="41"/>
      <c r="R25" s="73"/>
      <c r="S25" s="41"/>
      <c r="T25" s="73"/>
      <c r="U25" s="41"/>
      <c r="V25" s="73"/>
      <c r="W25" s="41"/>
      <c r="X25" s="41"/>
      <c r="Y25" s="75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77"/>
      <c r="AN25" s="109"/>
      <c r="AO25" s="109"/>
      <c r="AP25" s="109"/>
      <c r="AQ25" s="109"/>
    </row>
    <row r="26" spans="1:43" ht="13.5">
      <c r="A26" s="78"/>
      <c r="AL26" s="77"/>
      <c r="AN26" s="109"/>
      <c r="AO26" s="109"/>
      <c r="AP26" s="109"/>
      <c r="AQ26" s="109"/>
    </row>
    <row r="27" spans="1:43" ht="13.5">
      <c r="A27" s="78"/>
      <c r="AL27" s="77"/>
      <c r="AN27" s="110"/>
      <c r="AO27" s="110"/>
      <c r="AP27" s="110"/>
      <c r="AQ27" s="110"/>
    </row>
    <row r="28" spans="1:43" ht="13.5">
      <c r="A28" s="78"/>
      <c r="AL28" s="77"/>
      <c r="AM28" s="7"/>
      <c r="AN28" s="110"/>
      <c r="AO28" s="110"/>
      <c r="AP28" s="110"/>
      <c r="AQ28" s="110"/>
    </row>
    <row r="29" spans="1:43" ht="13.5">
      <c r="A29" s="78"/>
      <c r="AL29" s="77"/>
      <c r="AN29" s="110"/>
      <c r="AO29" s="110"/>
      <c r="AP29" s="110"/>
      <c r="AQ29" s="110"/>
    </row>
    <row r="30" spans="38:43" ht="12">
      <c r="AL30" s="77"/>
      <c r="AN30" s="7"/>
      <c r="AO30" s="7"/>
      <c r="AP30" s="7"/>
      <c r="AQ30" s="7"/>
    </row>
    <row r="31" ht="12">
      <c r="AL31" s="77"/>
    </row>
    <row r="32" ht="12">
      <c r="AL32" s="77"/>
    </row>
    <row r="33" ht="12">
      <c r="AL33" s="77"/>
    </row>
    <row r="34" ht="12">
      <c r="AL34" s="77"/>
    </row>
    <row r="35" ht="12">
      <c r="AL35" s="77"/>
    </row>
    <row r="36" ht="12">
      <c r="AL36" s="77"/>
    </row>
    <row r="37" ht="12">
      <c r="AL37" s="77"/>
    </row>
    <row r="38" ht="12">
      <c r="AL38" s="77"/>
    </row>
    <row r="39" ht="12">
      <c r="AL39" s="77"/>
    </row>
    <row r="40" ht="12">
      <c r="AL40" s="77"/>
    </row>
    <row r="41" ht="12">
      <c r="AL41" s="77"/>
    </row>
    <row r="42" spans="1:38" ht="12.75">
      <c r="A42" s="22"/>
      <c r="B42" s="21"/>
      <c r="C42" s="22"/>
      <c r="D42" s="21"/>
      <c r="E42" s="22"/>
      <c r="F42" s="21"/>
      <c r="G42" s="22"/>
      <c r="H42" s="21"/>
      <c r="I42" s="22"/>
      <c r="J42" s="21"/>
      <c r="K42" s="22"/>
      <c r="L42" s="21"/>
      <c r="M42" s="22"/>
      <c r="N42" s="21"/>
      <c r="O42" s="22"/>
      <c r="P42" s="21"/>
      <c r="Q42" s="22"/>
      <c r="R42" s="21"/>
      <c r="S42" s="22"/>
      <c r="T42" s="21"/>
      <c r="U42" s="22"/>
      <c r="V42" s="21"/>
      <c r="W42" s="22"/>
      <c r="X42" s="22"/>
      <c r="Y42" s="81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77"/>
    </row>
    <row r="43" spans="1:38" ht="12.75">
      <c r="A43" s="22"/>
      <c r="B43" s="21"/>
      <c r="C43" s="22"/>
      <c r="D43" s="21"/>
      <c r="E43" s="22"/>
      <c r="F43" s="21"/>
      <c r="G43" s="22"/>
      <c r="H43" s="21"/>
      <c r="I43" s="22"/>
      <c r="J43" s="21"/>
      <c r="K43" s="22"/>
      <c r="L43" s="21"/>
      <c r="M43" s="22"/>
      <c r="N43" s="21"/>
      <c r="O43" s="22"/>
      <c r="P43" s="21"/>
      <c r="Q43" s="22"/>
      <c r="R43" s="21"/>
      <c r="S43" s="22"/>
      <c r="T43" s="21"/>
      <c r="U43" s="22"/>
      <c r="V43" s="21"/>
      <c r="W43" s="22"/>
      <c r="X43" s="22"/>
      <c r="Y43" s="81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77"/>
    </row>
    <row r="44" ht="12">
      <c r="AL44" s="77"/>
    </row>
    <row r="45" spans="38:49" ht="12">
      <c r="AL45" s="14"/>
      <c r="AM45" s="82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ht="12">
      <c r="AL46" s="77"/>
    </row>
    <row r="47" ht="12">
      <c r="AL47" s="77"/>
    </row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spans="24:62" ht="12">
      <c r="X66" s="83"/>
      <c r="Y66" s="84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spans="1:23" ht="12">
      <c r="A86" s="41"/>
      <c r="B86" s="73"/>
      <c r="C86" s="41"/>
      <c r="D86" s="73"/>
      <c r="E86" s="41"/>
      <c r="F86" s="73"/>
      <c r="G86" s="41"/>
      <c r="H86" s="73"/>
      <c r="I86" s="41"/>
      <c r="J86" s="73"/>
      <c r="K86" s="41"/>
      <c r="L86" s="73"/>
      <c r="M86" s="41"/>
      <c r="N86" s="73"/>
      <c r="O86" s="41"/>
      <c r="P86" s="74"/>
      <c r="Q86" s="41"/>
      <c r="R86" s="73"/>
      <c r="S86" s="41"/>
      <c r="T86" s="73"/>
      <c r="U86" s="41"/>
      <c r="V86" s="73"/>
      <c r="W86" s="41"/>
    </row>
    <row r="87" spans="1:23" ht="12">
      <c r="A87" s="41"/>
      <c r="B87" s="73"/>
      <c r="C87" s="41"/>
      <c r="D87" s="73"/>
      <c r="E87" s="41"/>
      <c r="F87" s="73"/>
      <c r="G87" s="41"/>
      <c r="H87" s="73"/>
      <c r="I87" s="41"/>
      <c r="J87" s="73"/>
      <c r="K87" s="41"/>
      <c r="L87" s="73"/>
      <c r="M87" s="41"/>
      <c r="N87" s="73"/>
      <c r="O87" s="41"/>
      <c r="P87" s="74"/>
      <c r="Q87" s="41"/>
      <c r="R87" s="73"/>
      <c r="S87" s="41"/>
      <c r="T87" s="73"/>
      <c r="U87" s="41"/>
      <c r="V87" s="73"/>
      <c r="W87" s="41"/>
    </row>
    <row r="88" spans="24:31" ht="12">
      <c r="X88" s="14"/>
      <c r="Y88" s="85"/>
      <c r="Z88" s="14"/>
      <c r="AA88" s="14"/>
      <c r="AB88" s="14"/>
      <c r="AC88" s="14"/>
      <c r="AD88" s="14"/>
      <c r="AE88" s="14"/>
    </row>
    <row r="89" spans="24:31" ht="12">
      <c r="X89" s="14"/>
      <c r="Y89" s="85"/>
      <c r="Z89" s="14"/>
      <c r="AA89" s="14"/>
      <c r="AB89" s="14"/>
      <c r="AC89" s="14"/>
      <c r="AD89" s="14"/>
      <c r="AE89" s="14"/>
    </row>
    <row r="90" spans="24:31" ht="12">
      <c r="X90" s="14"/>
      <c r="Y90" s="85"/>
      <c r="Z90" s="14"/>
      <c r="AA90" s="14"/>
      <c r="AB90" s="14"/>
      <c r="AC90" s="14"/>
      <c r="AD90" s="14"/>
      <c r="AE90" s="14"/>
    </row>
    <row r="91" spans="24:88" ht="12">
      <c r="X91" s="7"/>
      <c r="Y91" s="70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</row>
    <row r="92" spans="24:88" ht="12">
      <c r="X92" s="7"/>
      <c r="Y92" s="70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</row>
    <row r="93" spans="24:82" ht="12">
      <c r="X93" s="7"/>
      <c r="Y93" s="70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</row>
    <row r="94" ht="12"/>
    <row r="95" ht="12"/>
    <row r="96" spans="24:74" ht="12">
      <c r="X96" s="7"/>
      <c r="Y96" s="70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</row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spans="24:82" ht="12">
      <c r="X110" s="86"/>
      <c r="Y110" s="87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</row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</sheetData>
  <sheetProtection/>
  <mergeCells count="4">
    <mergeCell ref="P21:Q21"/>
    <mergeCell ref="R21:S21"/>
    <mergeCell ref="T21:U21"/>
    <mergeCell ref="V21:W2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2003-06-03T15:59:27Z</dcterms:created>
  <dcterms:modified xsi:type="dcterms:W3CDTF">2021-08-26T18:45:44Z</dcterms:modified>
  <cp:category/>
  <cp:version/>
  <cp:contentType/>
  <cp:contentStatus/>
</cp:coreProperties>
</file>